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filterPrivacy="1" defaultThemeVersion="124226"/>
  <xr:revisionPtr revIDLastSave="0" documentId="10_ncr:8100000_{E6CAE546-9383-444A-A15B-533F539E9748}" xr6:coauthVersionLast="34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.melléklet.Önkormányzat" sheetId="36" r:id="rId1"/>
    <sheet name="2.melléklet.Önkormányzat.és int" sheetId="22" r:id="rId2"/>
    <sheet name="3.mellékletPH.bev." sheetId="23" r:id="rId3"/>
    <sheet name="4 ESZI bev" sheetId="24" r:id="rId4"/>
    <sheet name="5. Óvoda bev" sheetId="25" r:id="rId5"/>
    <sheet name="6.melléklet.Kiadások.Önk." sheetId="26" r:id="rId6"/>
    <sheet name="7.PMH kiad" sheetId="27" r:id="rId7"/>
    <sheet name="8.ESZI kiad" sheetId="28" r:id="rId8"/>
    <sheet name="9. Óvoda kiad" sheetId="29" r:id="rId9"/>
    <sheet name="10.melléklet.létszám" sheetId="51" r:id="rId10"/>
    <sheet name="11.melléklet.Beruházás" sheetId="38" r:id="rId11"/>
    <sheet name="12.melléklet.Int.pénzellát." sheetId="39" r:id="rId12"/>
    <sheet name="13.melléklet.pénzeszköz át." sheetId="40" r:id="rId13"/>
    <sheet name="14.melléklet.ált.,céltartalék" sheetId="41" r:id="rId14"/>
    <sheet name="15. melléklet" sheetId="42" r:id="rId15"/>
    <sheet name="16.melléklet.több éves" sheetId="43" r:id="rId16"/>
    <sheet name="17.melléklet.felhaszn.ütemterve" sheetId="45" r:id="rId17"/>
    <sheet name="18.melléklet.EU-s" sheetId="46" r:id="rId18"/>
    <sheet name="19.melléklet.kedvezm." sheetId="47" r:id="rId19"/>
    <sheet name="20.melléklet.4.éves pénzforg." sheetId="48" r:id="rId20"/>
    <sheet name="21.melléklet.saját.bev" sheetId="49" r:id="rId21"/>
    <sheet name="22.melléklet.likv.terv" sheetId="50" r:id="rId22"/>
  </sheets>
  <definedNames>
    <definedName name="_xlnm._FilterDatabase" localSheetId="1" hidden="1">'2.melléklet.Önkormányzat.és int'!$B$3:$AA$24</definedName>
    <definedName name="_xlnm.Print_Area" localSheetId="9">'10.melléklet.létszám'!$A$1:$I$17</definedName>
    <definedName name="_xlnm.Print_Area" localSheetId="10">'11.melléklet.Beruházás'!$A$1:$D$46</definedName>
    <definedName name="_xlnm.Print_Area" localSheetId="11">'12.melléklet.Int.pénzellát.'!$A$1:$D$13</definedName>
    <definedName name="_xlnm.Print_Area" localSheetId="12">'13.melléklet.pénzeszköz át.'!$A$1:$D$39</definedName>
    <definedName name="_xlnm.Print_Area" localSheetId="14">'15. melléklet'!$A$1:$F$39</definedName>
    <definedName name="_xlnm.Print_Area" localSheetId="15">'16.melléklet.több éves'!$A$1:$H$13</definedName>
    <definedName name="_xlnm.Print_Area" localSheetId="16">'17.melléklet.felhaszn.ütemterve'!$A$1:$N$33</definedName>
    <definedName name="_xlnm.Print_Area" localSheetId="17">'18.melléklet.EU-s'!$A$1:$E$10</definedName>
    <definedName name="_xlnm.Print_Area" localSheetId="18">'19.melléklet.kedvezm.'!$A$1:$E$12</definedName>
    <definedName name="_xlnm.Print_Area" localSheetId="1">'2.melléklet.Önkormányzat.és int'!$A$1:$AB$45</definedName>
    <definedName name="_xlnm.Print_Area" localSheetId="19">'20.melléklet.4.éves pénzforg.'!$A$1:$G$34</definedName>
    <definedName name="_xlnm.Print_Area" localSheetId="20">'21.melléklet.saját.bev'!$A$3:$F$15</definedName>
    <definedName name="_xlnm.Print_Area" localSheetId="21">'22.melléklet.likv.terv'!$B$2:$O$31</definedName>
    <definedName name="_xlnm.Print_Area" localSheetId="8">'9. Óvoda kiad'!$A$2:$Y$14</definedName>
    <definedName name="Verzió" localSheetId="0">#REF!</definedName>
    <definedName name="Verzió" localSheetId="2">#REF!</definedName>
    <definedName name="Verzió" localSheetId="3">#REF!</definedName>
    <definedName name="Verzió" localSheetId="4">#REF!</definedName>
    <definedName name="Verzió" localSheetId="5">#REF!</definedName>
    <definedName name="Verzió" localSheetId="6">#REF!</definedName>
    <definedName name="Verzió" localSheetId="7">#REF!</definedName>
    <definedName name="Verzió" localSheetId="8">#REF!</definedName>
    <definedName name="Verzió">#REF!</definedName>
  </definedNames>
  <calcPr calcId="162913"/>
</workbook>
</file>

<file path=xl/calcChain.xml><?xml version="1.0" encoding="utf-8"?>
<calcChain xmlns="http://schemas.openxmlformats.org/spreadsheetml/2006/main">
  <c r="D27" i="38" l="1"/>
  <c r="P27" i="22"/>
  <c r="O10" i="26" l="1"/>
  <c r="D17" i="40" l="1"/>
  <c r="D16" i="40"/>
  <c r="D15" i="40"/>
  <c r="D14" i="40"/>
  <c r="D15" i="38"/>
  <c r="D17" i="38"/>
  <c r="I7" i="27"/>
  <c r="I16" i="27" s="1"/>
  <c r="I17" i="27" s="1"/>
  <c r="G16" i="27"/>
  <c r="E7" i="27"/>
  <c r="E16" i="27"/>
  <c r="E17" i="27" s="1"/>
  <c r="I8" i="23"/>
  <c r="D28" i="40" l="1"/>
  <c r="Q9" i="24"/>
  <c r="E15" i="25" l="1"/>
  <c r="D15" i="25"/>
  <c r="U9" i="25"/>
  <c r="J40" i="22"/>
  <c r="J45" i="22"/>
  <c r="D28" i="36"/>
  <c r="H22" i="22"/>
  <c r="AB17" i="22"/>
  <c r="AC17" i="22" s="1"/>
  <c r="AE8" i="26"/>
  <c r="AE9" i="26"/>
  <c r="AE10" i="26"/>
  <c r="AE11" i="26"/>
  <c r="AE12" i="26"/>
  <c r="AE13" i="26"/>
  <c r="AE14" i="26"/>
  <c r="AE15" i="26"/>
  <c r="AE16" i="26"/>
  <c r="AE17" i="26"/>
  <c r="AE18" i="26"/>
  <c r="AE19" i="26"/>
  <c r="AE20" i="26"/>
  <c r="AE21" i="26"/>
  <c r="AE22" i="26"/>
  <c r="AE23" i="26"/>
  <c r="AE24" i="26"/>
  <c r="AE25" i="26"/>
  <c r="AE26" i="26"/>
  <c r="AE27" i="26"/>
  <c r="AE28" i="26"/>
  <c r="AE29" i="26"/>
  <c r="AE30" i="26"/>
  <c r="AE31" i="26"/>
  <c r="AE32" i="26"/>
  <c r="AE33" i="26"/>
  <c r="AE34" i="26"/>
  <c r="AE35" i="26"/>
  <c r="AE36" i="26"/>
  <c r="AE37" i="26"/>
  <c r="AE38" i="26"/>
  <c r="AE39" i="26"/>
  <c r="AE40" i="26"/>
  <c r="AE41" i="26"/>
  <c r="AE7" i="26"/>
  <c r="AI7" i="26"/>
  <c r="AI13" i="26"/>
  <c r="D15" i="41" l="1"/>
  <c r="P42" i="22" l="1"/>
  <c r="P45" i="22" s="1"/>
  <c r="D22" i="36" s="1"/>
  <c r="G27" i="22"/>
  <c r="K27" i="22"/>
  <c r="M27" i="22"/>
  <c r="O27" i="22"/>
  <c r="O42" i="22" s="1"/>
  <c r="Q27" i="22"/>
  <c r="Q42" i="22" s="1"/>
  <c r="S27" i="22"/>
  <c r="U27" i="22"/>
  <c r="U42" i="22" s="1"/>
  <c r="E27" i="22"/>
  <c r="E29" i="22"/>
  <c r="M42" i="22"/>
  <c r="S42" i="22"/>
  <c r="K42" i="22"/>
  <c r="G26" i="22"/>
  <c r="K26" i="22"/>
  <c r="M26" i="22"/>
  <c r="O26" i="22"/>
  <c r="P26" i="22"/>
  <c r="Q26" i="22"/>
  <c r="S26" i="22"/>
  <c r="U26" i="22"/>
  <c r="V26" i="22"/>
  <c r="W26" i="22"/>
  <c r="Y26" i="22"/>
  <c r="Z26" i="22"/>
  <c r="E26" i="22"/>
  <c r="AB8" i="22"/>
  <c r="F10" i="22"/>
  <c r="F20" i="22"/>
  <c r="F7" i="22"/>
  <c r="N12" i="22"/>
  <c r="N18" i="22"/>
  <c r="V42" i="26"/>
  <c r="I10" i="26"/>
  <c r="Q8" i="28"/>
  <c r="O16" i="28"/>
  <c r="Q7" i="28"/>
  <c r="G13" i="28"/>
  <c r="G9" i="27"/>
  <c r="C32" i="42" l="1"/>
  <c r="D22" i="41"/>
  <c r="C14" i="40"/>
  <c r="F13" i="27"/>
  <c r="H13" i="27"/>
  <c r="J13" i="27"/>
  <c r="K13" i="27"/>
  <c r="L13" i="27"/>
  <c r="M13" i="27"/>
  <c r="N13" i="27"/>
  <c r="P13" i="27"/>
  <c r="Q13" i="27"/>
  <c r="R13" i="27"/>
  <c r="S13" i="27"/>
  <c r="T13" i="27"/>
  <c r="U13" i="27"/>
  <c r="V8" i="27" l="1"/>
  <c r="D38" i="36" l="1"/>
  <c r="AA10" i="26"/>
  <c r="D35" i="38" l="1"/>
  <c r="D33" i="38"/>
  <c r="D11" i="38"/>
  <c r="D29" i="36"/>
  <c r="D27" i="36"/>
  <c r="D26" i="36"/>
  <c r="D13" i="36"/>
  <c r="D9" i="36"/>
  <c r="Q24" i="26"/>
  <c r="M28" i="26"/>
  <c r="M12" i="26"/>
  <c r="I36" i="26"/>
  <c r="L24" i="22"/>
  <c r="AB18" i="22"/>
  <c r="AB15" i="22"/>
  <c r="X23" i="22"/>
  <c r="X26" i="22" s="1"/>
  <c r="T17" i="22"/>
  <c r="R7" i="22"/>
  <c r="N13" i="22"/>
  <c r="N14" i="22"/>
  <c r="N15" i="22"/>
  <c r="N16" i="22"/>
  <c r="N19" i="22"/>
  <c r="N20" i="22"/>
  <c r="AB20" i="22" s="1"/>
  <c r="F11" i="22"/>
  <c r="AB11" i="22" s="1"/>
  <c r="F12" i="22"/>
  <c r="AB12" i="22" s="1"/>
  <c r="F13" i="22"/>
  <c r="F14" i="22"/>
  <c r="F16" i="22"/>
  <c r="AB16" i="22" s="1"/>
  <c r="F27" i="22"/>
  <c r="AB21" i="22" l="1"/>
  <c r="AB19" i="22"/>
  <c r="N27" i="22"/>
  <c r="L27" i="22"/>
  <c r="L26" i="22"/>
  <c r="AB14" i="22"/>
  <c r="F26" i="22"/>
  <c r="R27" i="22"/>
  <c r="R42" i="22" s="1"/>
  <c r="R26" i="22"/>
  <c r="AB23" i="22"/>
  <c r="AB13" i="22"/>
  <c r="H26" i="22"/>
  <c r="H27" i="22"/>
  <c r="T26" i="22"/>
  <c r="T27" i="22"/>
  <c r="T42" i="22" s="1"/>
  <c r="AB22" i="22"/>
  <c r="U42" i="26"/>
  <c r="I24" i="22"/>
  <c r="I27" i="22" l="1"/>
  <c r="I26" i="22"/>
  <c r="T55" i="26"/>
  <c r="G9" i="28"/>
  <c r="Y9" i="28" s="1"/>
  <c r="Y11" i="28"/>
  <c r="Y8" i="28"/>
  <c r="Y7" i="28"/>
  <c r="Y12" i="28"/>
  <c r="Q14" i="28"/>
  <c r="Q15" i="28"/>
  <c r="Q16" i="28"/>
  <c r="O10" i="28"/>
  <c r="O14" i="28"/>
  <c r="O13" i="28"/>
  <c r="Y13" i="28"/>
  <c r="G12" i="28"/>
  <c r="V9" i="24"/>
  <c r="V10" i="24"/>
  <c r="V11" i="24"/>
  <c r="V13" i="24"/>
  <c r="V14" i="24"/>
  <c r="V16" i="24"/>
  <c r="Q8" i="24"/>
  <c r="S9" i="24"/>
  <c r="E15" i="24"/>
  <c r="V15" i="24" s="1"/>
  <c r="E13" i="24"/>
  <c r="E12" i="24"/>
  <c r="V12" i="24" s="1"/>
  <c r="J27" i="22" l="1"/>
  <c r="J26" i="22"/>
  <c r="AB24" i="22"/>
  <c r="O15" i="28"/>
  <c r="Y10" i="28"/>
  <c r="E10" i="25"/>
  <c r="S7" i="25"/>
  <c r="F12" i="27"/>
  <c r="H12" i="27"/>
  <c r="I12" i="27"/>
  <c r="I54" i="26" s="1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D13" i="27"/>
  <c r="D12" i="27"/>
  <c r="W9" i="27"/>
  <c r="W10" i="27"/>
  <c r="W7" i="27"/>
  <c r="O7" i="27"/>
  <c r="O13" i="27" s="1"/>
  <c r="I8" i="27"/>
  <c r="I13" i="27"/>
  <c r="G8" i="27"/>
  <c r="G12" i="27" s="1"/>
  <c r="G54" i="26" s="1"/>
  <c r="G7" i="27"/>
  <c r="G13" i="27" s="1"/>
  <c r="E8" i="27"/>
  <c r="E12" i="27" s="1"/>
  <c r="E54" i="26" s="1"/>
  <c r="Q7" i="23"/>
  <c r="F33" i="22"/>
  <c r="F44" i="22" s="1"/>
  <c r="W7" i="23"/>
  <c r="E13" i="27" l="1"/>
  <c r="E11" i="27"/>
  <c r="AE54" i="26"/>
  <c r="W13" i="27"/>
  <c r="W8" i="27"/>
  <c r="W12" i="27" s="1"/>
  <c r="C10" i="49"/>
  <c r="D27" i="50" l="1"/>
  <c r="F27" i="50"/>
  <c r="J27" i="50"/>
  <c r="K27" i="50"/>
  <c r="M27" i="50"/>
  <c r="N27" i="50"/>
  <c r="J26" i="50"/>
  <c r="D13" i="50"/>
  <c r="E13" i="50"/>
  <c r="F13" i="50"/>
  <c r="G13" i="50"/>
  <c r="H13" i="50"/>
  <c r="I13" i="50"/>
  <c r="J13" i="50"/>
  <c r="K13" i="50"/>
  <c r="L13" i="50"/>
  <c r="M13" i="50"/>
  <c r="N13" i="50"/>
  <c r="C13" i="50"/>
  <c r="D10" i="49"/>
  <c r="E10" i="49" s="1"/>
  <c r="F10" i="49" s="1"/>
  <c r="D9" i="49"/>
  <c r="E9" i="49" s="1"/>
  <c r="F9" i="49" s="1"/>
  <c r="C11" i="47"/>
  <c r="C10" i="47"/>
  <c r="C10" i="46"/>
  <c r="C9" i="46"/>
  <c r="N17" i="45"/>
  <c r="N18" i="45"/>
  <c r="F28" i="45"/>
  <c r="G28" i="45" s="1"/>
  <c r="H28" i="45" s="1"/>
  <c r="C22" i="41"/>
  <c r="D15" i="48"/>
  <c r="N19" i="45" l="1"/>
  <c r="F55" i="26"/>
  <c r="H42" i="22"/>
  <c r="J42" i="22"/>
  <c r="V27" i="22"/>
  <c r="V42" i="22" s="1"/>
  <c r="W27" i="22"/>
  <c r="X27" i="22"/>
  <c r="Y27" i="22"/>
  <c r="Z27" i="22"/>
  <c r="L42" i="22"/>
  <c r="D24" i="36"/>
  <c r="C24" i="36"/>
  <c r="C14" i="36"/>
  <c r="D8" i="36" s="1"/>
  <c r="B9" i="45" l="1"/>
  <c r="C10" i="50" s="1"/>
  <c r="C10" i="42"/>
  <c r="D10" i="42" s="1"/>
  <c r="E10" i="42" s="1"/>
  <c r="F10" i="42" s="1"/>
  <c r="D10" i="48"/>
  <c r="E65" i="26"/>
  <c r="G65" i="26"/>
  <c r="I65" i="26"/>
  <c r="J65" i="26"/>
  <c r="K65" i="26"/>
  <c r="L65" i="26"/>
  <c r="M65" i="26"/>
  <c r="N65" i="26"/>
  <c r="O65" i="26"/>
  <c r="P65" i="26"/>
  <c r="Q65" i="26"/>
  <c r="R65" i="26"/>
  <c r="S65" i="26"/>
  <c r="U65" i="26"/>
  <c r="V65" i="26"/>
  <c r="W65" i="26"/>
  <c r="X65" i="26"/>
  <c r="Y65" i="26"/>
  <c r="Z65" i="26"/>
  <c r="AA65" i="26"/>
  <c r="AB65" i="26"/>
  <c r="AC65" i="26"/>
  <c r="AE65" i="26"/>
  <c r="AF65" i="26"/>
  <c r="N13" i="26"/>
  <c r="C17" i="40"/>
  <c r="C16" i="40"/>
  <c r="C15" i="40"/>
  <c r="C28" i="40"/>
  <c r="C30" i="38" l="1"/>
  <c r="C31" i="38"/>
  <c r="D31" i="38" s="1"/>
  <c r="V61" i="26"/>
  <c r="D43" i="38" l="1"/>
  <c r="C43" i="38"/>
  <c r="AD24" i="26"/>
  <c r="C11" i="39" l="1"/>
  <c r="D42" i="26"/>
  <c r="AA9" i="22" l="1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A23" i="22"/>
  <c r="AA25" i="22"/>
  <c r="I42" i="22" l="1"/>
  <c r="AA24" i="22"/>
  <c r="D17" i="24"/>
  <c r="T9" i="24"/>
  <c r="T10" i="24"/>
  <c r="T11" i="24"/>
  <c r="T12" i="24"/>
  <c r="T13" i="24"/>
  <c r="T14" i="24"/>
  <c r="T15" i="24"/>
  <c r="T16" i="24"/>
  <c r="T8" i="24"/>
  <c r="V8" i="28"/>
  <c r="V9" i="28"/>
  <c r="V10" i="28"/>
  <c r="V11" i="28"/>
  <c r="V12" i="28"/>
  <c r="V13" i="28"/>
  <c r="AB9" i="22" l="1"/>
  <c r="AB10" i="22"/>
  <c r="AB7" i="22"/>
  <c r="F29" i="22"/>
  <c r="G29" i="22"/>
  <c r="G43" i="22" s="1"/>
  <c r="H29" i="22"/>
  <c r="H43" i="22" s="1"/>
  <c r="I29" i="22"/>
  <c r="I43" i="22" s="1"/>
  <c r="J29" i="22"/>
  <c r="J43" i="22" s="1"/>
  <c r="K29" i="22"/>
  <c r="K43" i="22" s="1"/>
  <c r="L29" i="22"/>
  <c r="L43" i="22" s="1"/>
  <c r="M29" i="22"/>
  <c r="M43" i="22" s="1"/>
  <c r="N29" i="22"/>
  <c r="O29" i="22"/>
  <c r="O43" i="22" s="1"/>
  <c r="P43" i="22"/>
  <c r="Q29" i="22"/>
  <c r="Q43" i="22" s="1"/>
  <c r="R43" i="22"/>
  <c r="S29" i="22"/>
  <c r="S43" i="22" s="1"/>
  <c r="T29" i="22"/>
  <c r="T43" i="22" s="1"/>
  <c r="U29" i="22"/>
  <c r="V29" i="22"/>
  <c r="W29" i="22"/>
  <c r="X29" i="22"/>
  <c r="Y29" i="22"/>
  <c r="Z29" i="22"/>
  <c r="AB27" i="22" l="1"/>
  <c r="AB29" i="22"/>
  <c r="I42" i="26" l="1"/>
  <c r="E52" i="26" l="1"/>
  <c r="F52" i="26"/>
  <c r="G52" i="26"/>
  <c r="H52" i="26"/>
  <c r="I52" i="26"/>
  <c r="J52" i="26"/>
  <c r="K52" i="26"/>
  <c r="L52" i="26"/>
  <c r="M52" i="26"/>
  <c r="N52" i="26"/>
  <c r="O52" i="26"/>
  <c r="P52" i="26"/>
  <c r="Q52" i="26"/>
  <c r="R52" i="26"/>
  <c r="S52" i="26"/>
  <c r="T52" i="26"/>
  <c r="U52" i="26"/>
  <c r="V52" i="26"/>
  <c r="W52" i="26"/>
  <c r="X52" i="26"/>
  <c r="Y52" i="26"/>
  <c r="Z52" i="26"/>
  <c r="AA52" i="26"/>
  <c r="AB52" i="26"/>
  <c r="AC52" i="26"/>
  <c r="AF52" i="26"/>
  <c r="AG52" i="26"/>
  <c r="E51" i="26"/>
  <c r="F51" i="26"/>
  <c r="G51" i="26"/>
  <c r="H51" i="26"/>
  <c r="I51" i="26"/>
  <c r="J51" i="26"/>
  <c r="J64" i="26" s="1"/>
  <c r="K51" i="26"/>
  <c r="L51" i="26"/>
  <c r="L64" i="26" s="1"/>
  <c r="M51" i="26"/>
  <c r="M64" i="26" s="1"/>
  <c r="N51" i="26"/>
  <c r="N64" i="26" s="1"/>
  <c r="O51" i="26"/>
  <c r="O64" i="26" s="1"/>
  <c r="P51" i="26"/>
  <c r="P64" i="26" s="1"/>
  <c r="Q51" i="26"/>
  <c r="Q64" i="26" s="1"/>
  <c r="R51" i="26"/>
  <c r="R64" i="26" s="1"/>
  <c r="S51" i="26"/>
  <c r="S64" i="26" s="1"/>
  <c r="T51" i="26"/>
  <c r="U51" i="26"/>
  <c r="V51" i="26"/>
  <c r="V64" i="26" s="1"/>
  <c r="W51" i="26"/>
  <c r="W64" i="26" s="1"/>
  <c r="X51" i="26"/>
  <c r="X64" i="26" s="1"/>
  <c r="Y51" i="26"/>
  <c r="Y64" i="26" s="1"/>
  <c r="Z51" i="26"/>
  <c r="Z64" i="26" s="1"/>
  <c r="AA51" i="26"/>
  <c r="AA64" i="26" s="1"/>
  <c r="AB51" i="26"/>
  <c r="AB64" i="26" s="1"/>
  <c r="AC51" i="26"/>
  <c r="AC64" i="26" s="1"/>
  <c r="D51" i="26"/>
  <c r="D52" i="26"/>
  <c r="V59" i="26" l="1"/>
  <c r="X59" i="26"/>
  <c r="Y59" i="26"/>
  <c r="Z59" i="26"/>
  <c r="AA59" i="26"/>
  <c r="AB59" i="26"/>
  <c r="AC59" i="26"/>
  <c r="AF59" i="26"/>
  <c r="AI54" i="26" l="1"/>
  <c r="AI65" i="26" s="1"/>
  <c r="E12" i="47" l="1"/>
  <c r="B11" i="45" l="1"/>
  <c r="N39" i="22"/>
  <c r="N43" i="22" s="1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U34" i="22"/>
  <c r="V34" i="22"/>
  <c r="J13" i="29"/>
  <c r="K13" i="29"/>
  <c r="L13" i="29"/>
  <c r="M13" i="29"/>
  <c r="N13" i="29"/>
  <c r="P13" i="29"/>
  <c r="Q13" i="29"/>
  <c r="R13" i="29"/>
  <c r="S13" i="29"/>
  <c r="T13" i="29"/>
  <c r="U13" i="29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E44" i="22"/>
  <c r="G37" i="22"/>
  <c r="H37" i="22"/>
  <c r="I37" i="22"/>
  <c r="J37" i="22"/>
  <c r="K37" i="22"/>
  <c r="L37" i="22"/>
  <c r="M37" i="22"/>
  <c r="O37" i="22"/>
  <c r="P37" i="22"/>
  <c r="Q37" i="22"/>
  <c r="R37" i="22"/>
  <c r="S37" i="22"/>
  <c r="T37" i="22"/>
  <c r="T8" i="25"/>
  <c r="T10" i="25"/>
  <c r="T12" i="25"/>
  <c r="T13" i="25"/>
  <c r="U8" i="25"/>
  <c r="U10" i="25"/>
  <c r="U12" i="25"/>
  <c r="U13" i="25"/>
  <c r="X35" i="22"/>
  <c r="X34" i="22" s="1"/>
  <c r="F35" i="22"/>
  <c r="F15" i="25"/>
  <c r="G15" i="25"/>
  <c r="H15" i="25"/>
  <c r="I15" i="25"/>
  <c r="J15" i="25"/>
  <c r="K15" i="25"/>
  <c r="L15" i="25"/>
  <c r="M15" i="25"/>
  <c r="N15" i="25"/>
  <c r="O15" i="25"/>
  <c r="R15" i="25"/>
  <c r="W35" i="22" s="1"/>
  <c r="W34" i="22" s="1"/>
  <c r="S15" i="25"/>
  <c r="E35" i="22"/>
  <c r="H10" i="51"/>
  <c r="H11" i="51"/>
  <c r="H12" i="51"/>
  <c r="H13" i="51"/>
  <c r="C14" i="51"/>
  <c r="D14" i="51"/>
  <c r="E14" i="51"/>
  <c r="F14" i="51"/>
  <c r="G14" i="51"/>
  <c r="AB44" i="22" l="1"/>
  <c r="N37" i="22"/>
  <c r="O45" i="22"/>
  <c r="K45" i="22"/>
  <c r="C21" i="36" s="1"/>
  <c r="S45" i="22"/>
  <c r="E10" i="48"/>
  <c r="F10" i="48" s="1"/>
  <c r="H14" i="51"/>
  <c r="L45" i="22"/>
  <c r="D21" i="36" s="1"/>
  <c r="M45" i="22"/>
  <c r="C18" i="36" s="1"/>
  <c r="F15" i="49"/>
  <c r="E15" i="49"/>
  <c r="D15" i="49"/>
  <c r="C15" i="49"/>
  <c r="E19" i="48"/>
  <c r="F19" i="48" s="1"/>
  <c r="G19" i="48" s="1"/>
  <c r="E14" i="48"/>
  <c r="F14" i="48" s="1"/>
  <c r="G14" i="48" s="1"/>
  <c r="D12" i="47"/>
  <c r="C12" i="47"/>
  <c r="E10" i="46"/>
  <c r="D10" i="46"/>
  <c r="F13" i="43"/>
  <c r="E13" i="43"/>
  <c r="D13" i="43"/>
  <c r="C13" i="43"/>
  <c r="H11" i="43"/>
  <c r="H13" i="43" s="1"/>
  <c r="D32" i="42"/>
  <c r="E32" i="42" s="1"/>
  <c r="F32" i="42" s="1"/>
  <c r="D13" i="41"/>
  <c r="C20" i="42" s="1"/>
  <c r="C13" i="41"/>
  <c r="C24" i="41" s="1"/>
  <c r="C30" i="40"/>
  <c r="D12" i="40"/>
  <c r="C12" i="40"/>
  <c r="C34" i="40" l="1"/>
  <c r="C37" i="40" s="1"/>
  <c r="B14" i="45"/>
  <c r="C12" i="50" s="1"/>
  <c r="C26" i="42"/>
  <c r="D34" i="40"/>
  <c r="D37" i="40" s="1"/>
  <c r="D16" i="48"/>
  <c r="D24" i="41"/>
  <c r="D20" i="42"/>
  <c r="E20" i="42" s="1"/>
  <c r="F20" i="42" s="1"/>
  <c r="C15" i="45"/>
  <c r="D15" i="45" s="1"/>
  <c r="E15" i="45" s="1"/>
  <c r="N13" i="45"/>
  <c r="C9" i="45"/>
  <c r="D9" i="45" s="1"/>
  <c r="E9" i="45" s="1"/>
  <c r="F9" i="45" s="1"/>
  <c r="G9" i="45" s="1"/>
  <c r="H9" i="45" s="1"/>
  <c r="I9" i="45" s="1"/>
  <c r="J9" i="45" s="1"/>
  <c r="K9" i="45" s="1"/>
  <c r="L9" i="45" s="1"/>
  <c r="M9" i="45" s="1"/>
  <c r="D10" i="50"/>
  <c r="E10" i="50" s="1"/>
  <c r="F10" i="50" s="1"/>
  <c r="G10" i="50" s="1"/>
  <c r="H10" i="50" s="1"/>
  <c r="I10" i="50" s="1"/>
  <c r="J10" i="50" s="1"/>
  <c r="K10" i="50" s="1"/>
  <c r="L10" i="50" s="1"/>
  <c r="M10" i="50" s="1"/>
  <c r="N10" i="50" s="1"/>
  <c r="G10" i="48"/>
  <c r="N9" i="45" l="1"/>
  <c r="O10" i="50"/>
  <c r="C8" i="36" l="1"/>
  <c r="C16" i="36"/>
  <c r="D20" i="36"/>
  <c r="C37" i="36"/>
  <c r="D13" i="48" l="1"/>
  <c r="C8" i="50"/>
  <c r="D8" i="50" s="1"/>
  <c r="E8" i="50" s="1"/>
  <c r="F8" i="50" s="1"/>
  <c r="G8" i="50" s="1"/>
  <c r="H8" i="50" s="1"/>
  <c r="I8" i="50" s="1"/>
  <c r="J8" i="50" s="1"/>
  <c r="K8" i="50" s="1"/>
  <c r="L8" i="50" s="1"/>
  <c r="M8" i="50" s="1"/>
  <c r="N8" i="50" s="1"/>
  <c r="E16" i="48"/>
  <c r="F16" i="48" s="1"/>
  <c r="G16" i="48" s="1"/>
  <c r="F16" i="28"/>
  <c r="J16" i="28"/>
  <c r="K16" i="28"/>
  <c r="L16" i="28"/>
  <c r="M16" i="28"/>
  <c r="N16" i="28"/>
  <c r="U61" i="26"/>
  <c r="P16" i="28"/>
  <c r="W61" i="26"/>
  <c r="W59" i="26" s="1"/>
  <c r="R16" i="28"/>
  <c r="S16" i="28"/>
  <c r="T16" i="28"/>
  <c r="U16" i="28"/>
  <c r="W16" i="28"/>
  <c r="J12" i="29"/>
  <c r="K12" i="29"/>
  <c r="L12" i="29"/>
  <c r="M12" i="29"/>
  <c r="N12" i="29"/>
  <c r="C19" i="38" s="1"/>
  <c r="P12" i="29"/>
  <c r="Q12" i="29"/>
  <c r="R12" i="29"/>
  <c r="S12" i="29"/>
  <c r="T12" i="29"/>
  <c r="U12" i="29"/>
  <c r="V8" i="29"/>
  <c r="V6" i="29"/>
  <c r="K57" i="26"/>
  <c r="K64" i="26" s="1"/>
  <c r="Y8" i="29"/>
  <c r="O13" i="29"/>
  <c r="AE58" i="26"/>
  <c r="AI58" i="26" s="1"/>
  <c r="U57" i="26" l="1"/>
  <c r="Y6" i="29"/>
  <c r="O12" i="29"/>
  <c r="O8" i="50"/>
  <c r="J42" i="26"/>
  <c r="L42" i="26"/>
  <c r="N42" i="26"/>
  <c r="P42" i="26"/>
  <c r="Q42" i="26"/>
  <c r="R42" i="26"/>
  <c r="S42" i="26"/>
  <c r="Z42" i="26"/>
  <c r="AB42" i="26"/>
  <c r="AD7" i="26"/>
  <c r="AI32" i="26"/>
  <c r="AI35" i="26"/>
  <c r="AI37" i="26"/>
  <c r="AI38" i="26"/>
  <c r="AI40" i="26"/>
  <c r="AI41" i="26"/>
  <c r="AD11" i="26"/>
  <c r="AD12" i="26"/>
  <c r="AD13" i="26"/>
  <c r="AH13" i="26" s="1"/>
  <c r="AD14" i="26"/>
  <c r="AH14" i="26" s="1"/>
  <c r="AD18" i="26"/>
  <c r="AH18" i="26" s="1"/>
  <c r="AD19" i="26"/>
  <c r="AH19" i="26" s="1"/>
  <c r="AD21" i="26"/>
  <c r="AH21" i="26" s="1"/>
  <c r="AD25" i="26"/>
  <c r="AH25" i="26" s="1"/>
  <c r="AD26" i="26"/>
  <c r="AH26" i="26" s="1"/>
  <c r="AD28" i="26"/>
  <c r="AH28" i="26" s="1"/>
  <c r="AD29" i="26"/>
  <c r="AH29" i="26" s="1"/>
  <c r="AD30" i="26"/>
  <c r="AH30" i="26" s="1"/>
  <c r="AD31" i="26"/>
  <c r="AH31" i="26" s="1"/>
  <c r="AD32" i="26"/>
  <c r="AH32" i="26" s="1"/>
  <c r="AD33" i="26"/>
  <c r="AH33" i="26" s="1"/>
  <c r="AD34" i="26"/>
  <c r="AH34" i="26" s="1"/>
  <c r="AD35" i="26"/>
  <c r="AH35" i="26" s="1"/>
  <c r="AD36" i="26"/>
  <c r="AH36" i="26" s="1"/>
  <c r="AD37" i="26"/>
  <c r="AH37" i="26" s="1"/>
  <c r="AD38" i="26"/>
  <c r="AH38" i="26" s="1"/>
  <c r="AD39" i="26"/>
  <c r="AH39" i="26" s="1"/>
  <c r="AD40" i="26"/>
  <c r="AH40" i="26" s="1"/>
  <c r="AD41" i="26"/>
  <c r="AH41" i="26" s="1"/>
  <c r="AI36" i="26"/>
  <c r="AI33" i="26"/>
  <c r="AI28" i="26"/>
  <c r="AI25" i="26"/>
  <c r="AI19" i="26"/>
  <c r="AI18" i="26"/>
  <c r="AI30" i="26"/>
  <c r="AI21" i="26"/>
  <c r="AI14" i="26"/>
  <c r="AI31" i="26" l="1"/>
  <c r="AI34" i="26"/>
  <c r="K42" i="26"/>
  <c r="M42" i="26"/>
  <c r="AI26" i="26"/>
  <c r="AI39" i="26"/>
  <c r="AI10" i="26"/>
  <c r="O42" i="26"/>
  <c r="AE42" i="26" s="1"/>
  <c r="AC42" i="26"/>
  <c r="AC62" i="26" s="1"/>
  <c r="AH12" i="26"/>
  <c r="F42" i="26"/>
  <c r="AI12" i="26"/>
  <c r="AA42" i="26"/>
  <c r="AI29" i="26"/>
  <c r="N25" i="22"/>
  <c r="N26" i="22" s="1"/>
  <c r="D9" i="23"/>
  <c r="H30" i="22"/>
  <c r="I30" i="22"/>
  <c r="J30" i="22"/>
  <c r="K30" i="22"/>
  <c r="K40" i="22" s="1"/>
  <c r="L30" i="22"/>
  <c r="M30" i="22"/>
  <c r="O30" i="22"/>
  <c r="O40" i="22" s="1"/>
  <c r="P30" i="22"/>
  <c r="P40" i="22" s="1"/>
  <c r="Q30" i="22"/>
  <c r="R30" i="22"/>
  <c r="R40" i="22" s="1"/>
  <c r="S30" i="22"/>
  <c r="S40" i="22" s="1"/>
  <c r="T30" i="22"/>
  <c r="U30" i="22"/>
  <c r="V30" i="22"/>
  <c r="Z32" i="22"/>
  <c r="Y32" i="22"/>
  <c r="Y31" i="22"/>
  <c r="W31" i="22"/>
  <c r="W30" i="22" s="1"/>
  <c r="AB66" i="26"/>
  <c r="AB67" i="26" s="1"/>
  <c r="C64" i="36" s="1"/>
  <c r="C63" i="36" s="1"/>
  <c r="AC66" i="26"/>
  <c r="AB62" i="26"/>
  <c r="F15" i="28"/>
  <c r="J15" i="28"/>
  <c r="K15" i="28"/>
  <c r="L15" i="28"/>
  <c r="M15" i="28"/>
  <c r="N15" i="28"/>
  <c r="U60" i="26"/>
  <c r="P15" i="28"/>
  <c r="R15" i="28"/>
  <c r="S15" i="28"/>
  <c r="T15" i="28"/>
  <c r="U15" i="28"/>
  <c r="W15" i="28"/>
  <c r="X15" i="28"/>
  <c r="F14" i="28"/>
  <c r="J14" i="28"/>
  <c r="K14" i="28"/>
  <c r="L14" i="28"/>
  <c r="M14" i="28"/>
  <c r="N14" i="28"/>
  <c r="P14" i="28"/>
  <c r="R14" i="28"/>
  <c r="S14" i="28"/>
  <c r="T14" i="28"/>
  <c r="U14" i="28"/>
  <c r="W14" i="28"/>
  <c r="D16" i="28"/>
  <c r="D15" i="28"/>
  <c r="D14" i="28"/>
  <c r="F11" i="27"/>
  <c r="H11" i="27"/>
  <c r="J11" i="27"/>
  <c r="K11" i="27"/>
  <c r="L11" i="27"/>
  <c r="M11" i="27"/>
  <c r="N11" i="27"/>
  <c r="C20" i="38" s="1"/>
  <c r="D20" i="38" s="1"/>
  <c r="O11" i="27"/>
  <c r="P11" i="27"/>
  <c r="Q11" i="27"/>
  <c r="R11" i="27"/>
  <c r="S11" i="27"/>
  <c r="T11" i="27"/>
  <c r="U11" i="27"/>
  <c r="D11" i="27"/>
  <c r="G11" i="27"/>
  <c r="V7" i="27"/>
  <c r="X31" i="22"/>
  <c r="E8" i="23"/>
  <c r="F17" i="24"/>
  <c r="G17" i="24"/>
  <c r="H17" i="24"/>
  <c r="I17" i="24"/>
  <c r="J17" i="24"/>
  <c r="K17" i="24"/>
  <c r="L17" i="24"/>
  <c r="U39" i="22" s="1"/>
  <c r="M17" i="24"/>
  <c r="N17" i="24"/>
  <c r="O17" i="24"/>
  <c r="P17" i="24"/>
  <c r="C12" i="39" s="1"/>
  <c r="R17" i="24"/>
  <c r="W39" i="22" s="1"/>
  <c r="W43" i="22" s="1"/>
  <c r="Q19" i="24"/>
  <c r="S17" i="24"/>
  <c r="F19" i="24"/>
  <c r="G19" i="24"/>
  <c r="H19" i="24"/>
  <c r="I19" i="24"/>
  <c r="J19" i="24"/>
  <c r="K19" i="24"/>
  <c r="L19" i="24"/>
  <c r="M19" i="24"/>
  <c r="V39" i="22" s="1"/>
  <c r="N19" i="24"/>
  <c r="O19" i="24"/>
  <c r="P19" i="24"/>
  <c r="R19" i="24"/>
  <c r="S19" i="24"/>
  <c r="X39" i="22" s="1"/>
  <c r="X43" i="22" s="1"/>
  <c r="E18" i="24"/>
  <c r="F18" i="24"/>
  <c r="G18" i="24"/>
  <c r="H18" i="24"/>
  <c r="I18" i="24"/>
  <c r="J18" i="24"/>
  <c r="K18" i="24"/>
  <c r="L18" i="24"/>
  <c r="M18" i="24"/>
  <c r="N18" i="24"/>
  <c r="O18" i="24"/>
  <c r="P18" i="24"/>
  <c r="Y38" i="22" s="1"/>
  <c r="R18" i="24"/>
  <c r="W38" i="22" s="1"/>
  <c r="U18" i="24"/>
  <c r="D18" i="24"/>
  <c r="W42" i="22" l="1"/>
  <c r="V43" i="22"/>
  <c r="V45" i="22" s="1"/>
  <c r="D32" i="36" s="1"/>
  <c r="C12" i="42" s="1"/>
  <c r="V37" i="22"/>
  <c r="V40" i="22" s="1"/>
  <c r="Z39" i="22"/>
  <c r="Z43" i="22" s="1"/>
  <c r="C27" i="38"/>
  <c r="C46" i="38" s="1"/>
  <c r="F38" i="22"/>
  <c r="T65" i="26"/>
  <c r="U43" i="22"/>
  <c r="U45" i="22" s="1"/>
  <c r="C32" i="36" s="1"/>
  <c r="U37" i="22"/>
  <c r="U40" i="22" s="1"/>
  <c r="T17" i="24"/>
  <c r="AB25" i="22"/>
  <c r="AB26" i="22" s="1"/>
  <c r="Y39" i="22"/>
  <c r="Y43" i="22" s="1"/>
  <c r="E38" i="22"/>
  <c r="T18" i="24"/>
  <c r="H45" i="22"/>
  <c r="T45" i="22"/>
  <c r="L40" i="22"/>
  <c r="I55" i="26"/>
  <c r="U55" i="26"/>
  <c r="U64" i="26" s="1"/>
  <c r="Q17" i="24"/>
  <c r="Q20" i="24" s="1"/>
  <c r="G15" i="28"/>
  <c r="AC67" i="26"/>
  <c r="D64" i="36" s="1"/>
  <c r="D63" i="36" s="1"/>
  <c r="G14" i="28"/>
  <c r="E15" i="28"/>
  <c r="E60" i="26" s="1"/>
  <c r="Q18" i="24"/>
  <c r="S18" i="24"/>
  <c r="X38" i="22" s="1"/>
  <c r="V8" i="24"/>
  <c r="E14" i="28"/>
  <c r="T40" i="22"/>
  <c r="B29" i="45"/>
  <c r="C27" i="50" s="1"/>
  <c r="E16" i="28"/>
  <c r="E61" i="26" s="1"/>
  <c r="G16" i="28"/>
  <c r="H40" i="22"/>
  <c r="W37" i="22"/>
  <c r="M40" i="22"/>
  <c r="Y30" i="22"/>
  <c r="X30" i="22"/>
  <c r="I11" i="27"/>
  <c r="C11" i="45" l="1"/>
  <c r="D11" i="45" s="1"/>
  <c r="E11" i="45" s="1"/>
  <c r="F11" i="45" s="1"/>
  <c r="G11" i="45" s="1"/>
  <c r="H11" i="45" s="1"/>
  <c r="I11" i="45" s="1"/>
  <c r="J11" i="45" s="1"/>
  <c r="K11" i="45" s="1"/>
  <c r="L11" i="45" s="1"/>
  <c r="M11" i="45" s="1"/>
  <c r="D40" i="36"/>
  <c r="X37" i="22"/>
  <c r="X42" i="22"/>
  <c r="W11" i="27"/>
  <c r="D46" i="38"/>
  <c r="G60" i="26"/>
  <c r="G61" i="26"/>
  <c r="V18" i="24"/>
  <c r="D12" i="48"/>
  <c r="E12" i="48" s="1"/>
  <c r="F12" i="48" s="1"/>
  <c r="G12" i="48" s="1"/>
  <c r="AA38" i="22"/>
  <c r="Y37" i="22"/>
  <c r="W45" i="22"/>
  <c r="G55" i="26"/>
  <c r="E55" i="26"/>
  <c r="AE55" i="26" s="1"/>
  <c r="AE53" i="26" s="1"/>
  <c r="Z38" i="22"/>
  <c r="W40" i="22"/>
  <c r="C36" i="36" s="1"/>
  <c r="AA7" i="22"/>
  <c r="Q45" i="22"/>
  <c r="Q40" i="22"/>
  <c r="C22" i="36" s="1"/>
  <c r="I45" i="22"/>
  <c r="I40" i="22"/>
  <c r="D29" i="45"/>
  <c r="N11" i="45" l="1"/>
  <c r="AA27" i="22"/>
  <c r="AA26" i="22"/>
  <c r="F29" i="45"/>
  <c r="E27" i="50"/>
  <c r="Z37" i="22"/>
  <c r="C20" i="36"/>
  <c r="D26" i="42"/>
  <c r="D18" i="48"/>
  <c r="E18" i="48" s="1"/>
  <c r="F18" i="48" s="1"/>
  <c r="G18" i="48" s="1"/>
  <c r="C42" i="36"/>
  <c r="D17" i="48"/>
  <c r="R45" i="22"/>
  <c r="X45" i="22"/>
  <c r="X40" i="22"/>
  <c r="D36" i="36" s="1"/>
  <c r="E13" i="48"/>
  <c r="F13" i="48" s="1"/>
  <c r="G13" i="48" s="1"/>
  <c r="R14" i="25"/>
  <c r="S14" i="25"/>
  <c r="D14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G29" i="45" l="1"/>
  <c r="G27" i="50"/>
  <c r="F16" i="45"/>
  <c r="D42" i="36"/>
  <c r="E26" i="42"/>
  <c r="AA29" i="22"/>
  <c r="AI55" i="26"/>
  <c r="AI53" i="26"/>
  <c r="E17" i="48"/>
  <c r="F17" i="48" s="1"/>
  <c r="G17" i="48" s="1"/>
  <c r="T14" i="25"/>
  <c r="Y35" i="22"/>
  <c r="P15" i="25"/>
  <c r="T15" i="25" s="1"/>
  <c r="T7" i="25"/>
  <c r="D31" i="36"/>
  <c r="D14" i="50"/>
  <c r="E14" i="50" s="1"/>
  <c r="F14" i="50" s="1"/>
  <c r="Y34" i="22" l="1"/>
  <c r="Y42" i="22"/>
  <c r="Y45" i="22" s="1"/>
  <c r="AF11" i="26" s="1"/>
  <c r="H29" i="45"/>
  <c r="H27" i="50"/>
  <c r="F15" i="45"/>
  <c r="N15" i="45" s="1"/>
  <c r="C27" i="42"/>
  <c r="D27" i="42" s="1"/>
  <c r="F26" i="42"/>
  <c r="C14" i="45"/>
  <c r="U7" i="25"/>
  <c r="Q15" i="25"/>
  <c r="Q14" i="25"/>
  <c r="F13" i="29"/>
  <c r="F12" i="29"/>
  <c r="D13" i="29"/>
  <c r="D12" i="29"/>
  <c r="V10" i="29"/>
  <c r="E15" i="48"/>
  <c r="F15" i="48" s="1"/>
  <c r="G15" i="48" s="1"/>
  <c r="Y40" i="22"/>
  <c r="AA35" i="22"/>
  <c r="O14" i="50"/>
  <c r="O13" i="50"/>
  <c r="N16" i="45"/>
  <c r="K29" i="45" l="1"/>
  <c r="L27" i="50" s="1"/>
  <c r="I27" i="50"/>
  <c r="N29" i="45"/>
  <c r="E27" i="42"/>
  <c r="D28" i="42"/>
  <c r="C28" i="42"/>
  <c r="AG51" i="26"/>
  <c r="AG42" i="26"/>
  <c r="AI11" i="26"/>
  <c r="D14" i="45"/>
  <c r="D12" i="50"/>
  <c r="AF51" i="26"/>
  <c r="AF64" i="26" s="1"/>
  <c r="AF42" i="26"/>
  <c r="AH11" i="26"/>
  <c r="U14" i="25"/>
  <c r="Y10" i="29"/>
  <c r="E13" i="29"/>
  <c r="E12" i="29"/>
  <c r="G12" i="29"/>
  <c r="G13" i="29"/>
  <c r="Z35" i="22"/>
  <c r="U15" i="25"/>
  <c r="AG57" i="26"/>
  <c r="O27" i="50" l="1"/>
  <c r="F27" i="42"/>
  <c r="F28" i="42" s="1"/>
  <c r="E28" i="42"/>
  <c r="E14" i="45"/>
  <c r="E12" i="50"/>
  <c r="Z34" i="22"/>
  <c r="D19" i="24"/>
  <c r="AD10" i="26"/>
  <c r="AH10" i="26" s="1"/>
  <c r="F14" i="45" l="1"/>
  <c r="F12" i="50"/>
  <c r="E39" i="22"/>
  <c r="T19" i="24"/>
  <c r="E19" i="24"/>
  <c r="V19" i="24" s="1"/>
  <c r="E17" i="24"/>
  <c r="V17" i="24" s="1"/>
  <c r="T42" i="26"/>
  <c r="D55" i="36"/>
  <c r="B31" i="45" s="1"/>
  <c r="G42" i="26"/>
  <c r="X42" i="26"/>
  <c r="AD8" i="26"/>
  <c r="H42" i="26"/>
  <c r="AD23" i="26"/>
  <c r="AH23" i="26" s="1"/>
  <c r="AD9" i="26"/>
  <c r="AD16" i="26"/>
  <c r="AH16" i="26" s="1"/>
  <c r="AD22" i="26"/>
  <c r="AH22" i="26" s="1"/>
  <c r="AI22" i="26"/>
  <c r="AD27" i="26"/>
  <c r="AH27" i="26" s="1"/>
  <c r="AI17" i="26"/>
  <c r="AD17" i="26"/>
  <c r="AH17" i="26" s="1"/>
  <c r="AH24" i="26"/>
  <c r="AD15" i="26"/>
  <c r="AD52" i="26" s="1"/>
  <c r="AD20" i="26"/>
  <c r="AH20" i="26" s="1"/>
  <c r="V10" i="27"/>
  <c r="V13" i="27" s="1"/>
  <c r="G14" i="45" l="1"/>
  <c r="G12" i="50"/>
  <c r="E37" i="22"/>
  <c r="AA39" i="22"/>
  <c r="AD51" i="26"/>
  <c r="AI23" i="26"/>
  <c r="E42" i="26"/>
  <c r="W42" i="26"/>
  <c r="AD42" i="26"/>
  <c r="AH42" i="26" s="1"/>
  <c r="V11" i="27"/>
  <c r="AH15" i="26"/>
  <c r="AH52" i="26" s="1"/>
  <c r="F39" i="22"/>
  <c r="AI9" i="26"/>
  <c r="Y42" i="26"/>
  <c r="AI16" i="26"/>
  <c r="AI20" i="26"/>
  <c r="AI27" i="26"/>
  <c r="F37" i="22" l="1"/>
  <c r="AB39" i="22"/>
  <c r="H14" i="45"/>
  <c r="H12" i="50"/>
  <c r="AE52" i="26"/>
  <c r="AI24" i="26"/>
  <c r="AE51" i="26"/>
  <c r="D25" i="50"/>
  <c r="E25" i="50" s="1"/>
  <c r="F25" i="50" s="1"/>
  <c r="G25" i="50" s="1"/>
  <c r="H25" i="50" s="1"/>
  <c r="I25" i="50" s="1"/>
  <c r="J25" i="50" s="1"/>
  <c r="K25" i="50" s="1"/>
  <c r="L25" i="50" s="1"/>
  <c r="M25" i="50" s="1"/>
  <c r="N25" i="50" s="1"/>
  <c r="AI15" i="26"/>
  <c r="AI52" i="26" s="1"/>
  <c r="H13" i="29"/>
  <c r="V7" i="29"/>
  <c r="H12" i="29"/>
  <c r="Y9" i="29"/>
  <c r="V9" i="29"/>
  <c r="V11" i="29"/>
  <c r="Y11" i="29"/>
  <c r="AI8" i="26"/>
  <c r="I14" i="45" l="1"/>
  <c r="I12" i="50"/>
  <c r="AI42" i="26"/>
  <c r="AI51" i="26"/>
  <c r="Y7" i="29"/>
  <c r="Y12" i="29" s="1"/>
  <c r="I13" i="29"/>
  <c r="I12" i="29"/>
  <c r="H16" i="28"/>
  <c r="V16" i="28" s="1"/>
  <c r="H14" i="28"/>
  <c r="V14" i="28" s="1"/>
  <c r="O25" i="50"/>
  <c r="V12" i="29"/>
  <c r="V13" i="29"/>
  <c r="H15" i="28"/>
  <c r="V15" i="28" s="1"/>
  <c r="AH8" i="26"/>
  <c r="AH9" i="26"/>
  <c r="J14" i="45" l="1"/>
  <c r="J12" i="50"/>
  <c r="I15" i="28"/>
  <c r="Y15" i="28" s="1"/>
  <c r="I16" i="28"/>
  <c r="I14" i="28"/>
  <c r="Y14" i="28" s="1"/>
  <c r="Y13" i="29"/>
  <c r="AD58" i="26"/>
  <c r="H54" i="26"/>
  <c r="H65" i="26" s="1"/>
  <c r="F54" i="26"/>
  <c r="F65" i="26" s="1"/>
  <c r="D54" i="26"/>
  <c r="H55" i="26"/>
  <c r="D55" i="26"/>
  <c r="AD55" i="26" s="1"/>
  <c r="I61" i="26" l="1"/>
  <c r="AE61" i="26" s="1"/>
  <c r="AE66" i="26" s="1"/>
  <c r="Y16" i="28"/>
  <c r="K14" i="45"/>
  <c r="K12" i="50"/>
  <c r="AH58" i="26"/>
  <c r="D65" i="26"/>
  <c r="AD54" i="26"/>
  <c r="AD65" i="26" s="1"/>
  <c r="I60" i="26"/>
  <c r="D53" i="26"/>
  <c r="D49" i="26"/>
  <c r="T8" i="23"/>
  <c r="T7" i="23"/>
  <c r="AI61" i="26" l="1"/>
  <c r="AI66" i="26" s="1"/>
  <c r="L14" i="45"/>
  <c r="L12" i="50"/>
  <c r="AE60" i="26"/>
  <c r="AH55" i="26"/>
  <c r="M14" i="45" l="1"/>
  <c r="M12" i="50"/>
  <c r="AI60" i="26"/>
  <c r="AE59" i="26"/>
  <c r="N12" i="50" l="1"/>
  <c r="O12" i="50" s="1"/>
  <c r="N14" i="45"/>
  <c r="W8" i="23"/>
  <c r="E16" i="25" l="1"/>
  <c r="F16" i="25"/>
  <c r="G16" i="25"/>
  <c r="H16" i="25"/>
  <c r="I16" i="25"/>
  <c r="J16" i="25"/>
  <c r="K16" i="25"/>
  <c r="L16" i="25"/>
  <c r="M16" i="25"/>
  <c r="N16" i="25"/>
  <c r="O16" i="25"/>
  <c r="P16" i="25"/>
  <c r="Q16" i="25"/>
  <c r="D16" i="25"/>
  <c r="V14" i="29"/>
  <c r="W14" i="29"/>
  <c r="X14" i="29"/>
  <c r="Y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D14" i="29"/>
  <c r="E57" i="26"/>
  <c r="F57" i="26"/>
  <c r="G57" i="26"/>
  <c r="G64" i="26" s="1"/>
  <c r="H57" i="26"/>
  <c r="I57" i="26"/>
  <c r="I64" i="26" s="1"/>
  <c r="T57" i="26"/>
  <c r="D57" i="26"/>
  <c r="E64" i="26" l="1"/>
  <c r="AE57" i="26"/>
  <c r="AE56" i="26" s="1"/>
  <c r="T16" i="25"/>
  <c r="E36" i="22"/>
  <c r="E43" i="22" s="1"/>
  <c r="F36" i="22"/>
  <c r="F43" i="22" s="1"/>
  <c r="U16" i="25"/>
  <c r="AD57" i="26"/>
  <c r="AH57" i="26" l="1"/>
  <c r="AI57" i="26"/>
  <c r="AE64" i="26"/>
  <c r="AE67" i="26" s="1"/>
  <c r="F34" i="22"/>
  <c r="E34" i="22"/>
  <c r="AH7" i="26"/>
  <c r="AH51" i="26" s="1"/>
  <c r="AB28" i="22"/>
  <c r="AI64" i="26" l="1"/>
  <c r="AI56" i="26"/>
  <c r="E49" i="26"/>
  <c r="AB36" i="22" l="1"/>
  <c r="AB35" i="22"/>
  <c r="AB33" i="22"/>
  <c r="AA28" i="22"/>
  <c r="AA44" i="22" s="1"/>
  <c r="AB34" i="22" l="1"/>
  <c r="AA32" i="22"/>
  <c r="AA36" i="22" l="1"/>
  <c r="AA34" i="22" s="1"/>
  <c r="AA43" i="22" l="1"/>
  <c r="AA66" i="26"/>
  <c r="W66" i="26"/>
  <c r="U66" i="26"/>
  <c r="U67" i="26" s="1"/>
  <c r="S66" i="26"/>
  <c r="Q66" i="26"/>
  <c r="O66" i="26"/>
  <c r="M66" i="26"/>
  <c r="K66" i="26"/>
  <c r="I66" i="26"/>
  <c r="G66" i="26"/>
  <c r="E66" i="26"/>
  <c r="Q59" i="26"/>
  <c r="O59" i="26"/>
  <c r="M59" i="26"/>
  <c r="K59" i="26"/>
  <c r="L56" i="26"/>
  <c r="M56" i="26"/>
  <c r="N56" i="26"/>
  <c r="O56" i="26"/>
  <c r="P56" i="26"/>
  <c r="Q56" i="26"/>
  <c r="R56" i="26"/>
  <c r="R62" i="26" s="1"/>
  <c r="S56" i="26"/>
  <c r="S62" i="26" s="1"/>
  <c r="U56" i="26"/>
  <c r="V56" i="26"/>
  <c r="W56" i="26"/>
  <c r="W62" i="26" s="1"/>
  <c r="X56" i="26"/>
  <c r="Y56" i="26"/>
  <c r="Y62" i="26" s="1"/>
  <c r="Z56" i="26"/>
  <c r="AA56" i="26"/>
  <c r="AA62" i="26" s="1"/>
  <c r="K56" i="26"/>
  <c r="I56" i="26"/>
  <c r="G56" i="26"/>
  <c r="E56" i="26"/>
  <c r="U53" i="26"/>
  <c r="Q53" i="26"/>
  <c r="O53" i="26"/>
  <c r="K53" i="26"/>
  <c r="AA67" i="26" l="1"/>
  <c r="D68" i="36" s="1"/>
  <c r="K62" i="26"/>
  <c r="Q62" i="26"/>
  <c r="O62" i="26"/>
  <c r="K67" i="26"/>
  <c r="D53" i="36" s="1"/>
  <c r="W67" i="26"/>
  <c r="D61" i="36" s="1"/>
  <c r="O67" i="26"/>
  <c r="Q67" i="26"/>
  <c r="D65" i="36" s="1"/>
  <c r="C31" i="42" s="1"/>
  <c r="S67" i="26"/>
  <c r="E59" i="26"/>
  <c r="U10" i="24"/>
  <c r="U17" i="24" s="1"/>
  <c r="B25" i="45" l="1"/>
  <c r="C18" i="42"/>
  <c r="D28" i="45"/>
  <c r="C30" i="42"/>
  <c r="D67" i="36"/>
  <c r="U19" i="24"/>
  <c r="I59" i="26"/>
  <c r="G59" i="26"/>
  <c r="U59" i="26"/>
  <c r="D72" i="36" l="1"/>
  <c r="D78" i="36" s="1"/>
  <c r="C33" i="42"/>
  <c r="C28" i="45"/>
  <c r="U62" i="26"/>
  <c r="AG60" i="26"/>
  <c r="AG61" i="26"/>
  <c r="AG66" i="26" s="1"/>
  <c r="M53" i="26"/>
  <c r="M62" i="26" s="1"/>
  <c r="AE62" i="26" l="1"/>
  <c r="AI59" i="26"/>
  <c r="AG59" i="26"/>
  <c r="AB38" i="22"/>
  <c r="G53" i="26"/>
  <c r="G62" i="26" s="1"/>
  <c r="I53" i="26"/>
  <c r="I62" i="26" s="1"/>
  <c r="I67" i="26"/>
  <c r="D52" i="36" s="1"/>
  <c r="E53" i="26"/>
  <c r="E62" i="26" s="1"/>
  <c r="U10" i="23"/>
  <c r="W10" i="23"/>
  <c r="W11" i="23"/>
  <c r="U7" i="23"/>
  <c r="U11" i="23" s="1"/>
  <c r="V7" i="23"/>
  <c r="V11" i="23" s="1"/>
  <c r="R11" i="23"/>
  <c r="S11" i="23"/>
  <c r="R10" i="23"/>
  <c r="S10" i="23"/>
  <c r="R9" i="23"/>
  <c r="S9" i="23"/>
  <c r="Q9" i="23"/>
  <c r="Q10" i="23"/>
  <c r="Q11" i="23"/>
  <c r="AG54" i="26" s="1"/>
  <c r="O9" i="23"/>
  <c r="O10" i="23"/>
  <c r="O11" i="23"/>
  <c r="M9" i="23"/>
  <c r="M10" i="23"/>
  <c r="M11" i="23"/>
  <c r="K9" i="23"/>
  <c r="K10" i="23"/>
  <c r="K11" i="23"/>
  <c r="I9" i="23"/>
  <c r="I10" i="23"/>
  <c r="N31" i="22" s="1"/>
  <c r="N42" i="22" s="1"/>
  <c r="I11" i="23"/>
  <c r="G9" i="23"/>
  <c r="G10" i="23"/>
  <c r="G11" i="23"/>
  <c r="E9" i="23"/>
  <c r="E10" i="23"/>
  <c r="F31" i="22" s="1"/>
  <c r="F42" i="22" s="1"/>
  <c r="E11" i="23"/>
  <c r="W6" i="29"/>
  <c r="X6" i="29"/>
  <c r="AG55" i="26" l="1"/>
  <c r="AG64" i="26" s="1"/>
  <c r="Z31" i="22"/>
  <c r="AG65" i="26"/>
  <c r="AI62" i="26"/>
  <c r="B24" i="45"/>
  <c r="C17" i="42"/>
  <c r="N45" i="22"/>
  <c r="D18" i="36" s="1"/>
  <c r="D16" i="36" s="1"/>
  <c r="N30" i="22"/>
  <c r="N40" i="22" s="1"/>
  <c r="F45" i="22"/>
  <c r="X13" i="29"/>
  <c r="X12" i="29"/>
  <c r="W13" i="29"/>
  <c r="W12" i="29"/>
  <c r="D12" i="39"/>
  <c r="AB37" i="22"/>
  <c r="F30" i="22"/>
  <c r="F40" i="22" s="1"/>
  <c r="D30" i="36" s="1"/>
  <c r="D59" i="36"/>
  <c r="M67" i="26"/>
  <c r="D54" i="36" s="1"/>
  <c r="AB32" i="22"/>
  <c r="AB43" i="22" s="1"/>
  <c r="W9" i="23"/>
  <c r="AG67" i="26" l="1"/>
  <c r="B26" i="45"/>
  <c r="C19" i="42"/>
  <c r="Z30" i="22"/>
  <c r="Z40" i="22" s="1"/>
  <c r="Z42" i="22"/>
  <c r="Z45" i="22" s="1"/>
  <c r="AB31" i="22"/>
  <c r="AB42" i="22" s="1"/>
  <c r="AG53" i="26"/>
  <c r="D34" i="36"/>
  <c r="D43" i="36" s="1"/>
  <c r="D58" i="36"/>
  <c r="B27" i="45"/>
  <c r="C29" i="42"/>
  <c r="B12" i="45"/>
  <c r="C13" i="42"/>
  <c r="D13" i="42" s="1"/>
  <c r="E13" i="42" s="1"/>
  <c r="F13" i="42" s="1"/>
  <c r="C11" i="42"/>
  <c r="B10" i="45"/>
  <c r="D10" i="39" l="1"/>
  <c r="AG62" i="26"/>
  <c r="AB30" i="22"/>
  <c r="AB40" i="22" s="1"/>
  <c r="C9" i="50"/>
  <c r="C12" i="45"/>
  <c r="D12" i="45" s="1"/>
  <c r="E12" i="45" s="1"/>
  <c r="F12" i="45" s="1"/>
  <c r="G12" i="45" s="1"/>
  <c r="H12" i="45" s="1"/>
  <c r="I12" i="45" s="1"/>
  <c r="J12" i="45" s="1"/>
  <c r="K12" i="45" s="1"/>
  <c r="L12" i="45" s="1"/>
  <c r="M12" i="45" s="1"/>
  <c r="AB45" i="22"/>
  <c r="G67" i="26"/>
  <c r="D51" i="36" s="1"/>
  <c r="E67" i="26"/>
  <c r="D50" i="36" s="1"/>
  <c r="C16" i="42" l="1"/>
  <c r="B23" i="45"/>
  <c r="C15" i="42"/>
  <c r="B22" i="45"/>
  <c r="N12" i="45"/>
  <c r="D9" i="50"/>
  <c r="E9" i="50" s="1"/>
  <c r="F9" i="50" s="1"/>
  <c r="G9" i="50" s="1"/>
  <c r="H9" i="50" s="1"/>
  <c r="I9" i="50" s="1"/>
  <c r="J9" i="50" s="1"/>
  <c r="K9" i="50" s="1"/>
  <c r="L9" i="50" s="1"/>
  <c r="M9" i="50" s="1"/>
  <c r="N9" i="50" s="1"/>
  <c r="D49" i="36"/>
  <c r="D66" i="36" s="1"/>
  <c r="D73" i="36" s="1"/>
  <c r="Y66" i="26"/>
  <c r="Y67" i="26" s="1"/>
  <c r="AG56" i="26"/>
  <c r="O9" i="50" l="1"/>
  <c r="D11" i="39"/>
  <c r="D13" i="39" s="1"/>
  <c r="D77" i="36"/>
  <c r="T56" i="26"/>
  <c r="B33" i="45" l="1"/>
  <c r="C33" i="45" s="1"/>
  <c r="D33" i="45" s="1"/>
  <c r="E33" i="45" s="1"/>
  <c r="F33" i="45" s="1"/>
  <c r="G33" i="45" s="1"/>
  <c r="H33" i="45" s="1"/>
  <c r="I33" i="45" s="1"/>
  <c r="J33" i="45" s="1"/>
  <c r="K33" i="45" s="1"/>
  <c r="L33" i="45" s="1"/>
  <c r="M33" i="45" s="1"/>
  <c r="F11" i="23"/>
  <c r="H11" i="23"/>
  <c r="J11" i="23"/>
  <c r="L11" i="23"/>
  <c r="N11" i="23"/>
  <c r="P11" i="23"/>
  <c r="D11" i="23"/>
  <c r="E33" i="22" s="1"/>
  <c r="N33" i="45" l="1"/>
  <c r="AA33" i="22"/>
  <c r="R66" i="26" l="1"/>
  <c r="R67" i="26" l="1"/>
  <c r="T61" i="26" l="1"/>
  <c r="F61" i="26"/>
  <c r="F66" i="26" s="1"/>
  <c r="D61" i="26"/>
  <c r="D66" i="26" s="1"/>
  <c r="T60" i="26"/>
  <c r="T64" i="26" s="1"/>
  <c r="H60" i="26"/>
  <c r="H64" i="26" s="1"/>
  <c r="F60" i="26"/>
  <c r="F64" i="26" s="1"/>
  <c r="D60" i="26"/>
  <c r="D64" i="26" s="1"/>
  <c r="X7" i="28"/>
  <c r="V7" i="28"/>
  <c r="P59" i="26"/>
  <c r="N59" i="26"/>
  <c r="L59" i="26"/>
  <c r="J59" i="26"/>
  <c r="AF56" i="26"/>
  <c r="J56" i="26"/>
  <c r="H56" i="26"/>
  <c r="F56" i="26"/>
  <c r="D56" i="26"/>
  <c r="AF53" i="26"/>
  <c r="Z53" i="26"/>
  <c r="X53" i="26"/>
  <c r="V53" i="26"/>
  <c r="P53" i="26"/>
  <c r="N53" i="26"/>
  <c r="L53" i="26"/>
  <c r="J53" i="26"/>
  <c r="H53" i="26"/>
  <c r="F53" i="26"/>
  <c r="AF66" i="26"/>
  <c r="V66" i="26"/>
  <c r="P66" i="26"/>
  <c r="N66" i="26"/>
  <c r="J66" i="26"/>
  <c r="L66" i="26"/>
  <c r="X66" i="26"/>
  <c r="N10" i="23"/>
  <c r="L10" i="23"/>
  <c r="J10" i="23"/>
  <c r="H10" i="23"/>
  <c r="F10" i="23"/>
  <c r="G31" i="22" s="1"/>
  <c r="G42" i="22" s="1"/>
  <c r="D10" i="23"/>
  <c r="E31" i="22" s="1"/>
  <c r="N9" i="23"/>
  <c r="L9" i="23"/>
  <c r="J9" i="23"/>
  <c r="H9" i="23"/>
  <c r="F9" i="23"/>
  <c r="V8" i="23"/>
  <c r="V10" i="23" s="1"/>
  <c r="P10" i="23"/>
  <c r="T11" i="23"/>
  <c r="AA31" i="22" l="1"/>
  <c r="AA42" i="22" s="1"/>
  <c r="E42" i="22"/>
  <c r="E45" i="22" s="1"/>
  <c r="N62" i="26"/>
  <c r="Z62" i="26"/>
  <c r="T53" i="26"/>
  <c r="G45" i="22"/>
  <c r="G30" i="22"/>
  <c r="G40" i="22" s="1"/>
  <c r="X16" i="28"/>
  <c r="X14" i="28"/>
  <c r="AD56" i="26"/>
  <c r="AH56" i="26" s="1"/>
  <c r="E30" i="22"/>
  <c r="E40" i="22" s="1"/>
  <c r="C30" i="36" s="1"/>
  <c r="AA30" i="22"/>
  <c r="L62" i="26"/>
  <c r="X62" i="26"/>
  <c r="P62" i="26"/>
  <c r="AF62" i="26"/>
  <c r="T59" i="26"/>
  <c r="J62" i="26"/>
  <c r="V62" i="26"/>
  <c r="L67" i="26"/>
  <c r="Z66" i="26"/>
  <c r="Z67" i="26" s="1"/>
  <c r="C68" i="36" s="1"/>
  <c r="T66" i="26"/>
  <c r="T67" i="26" s="1"/>
  <c r="D59" i="26"/>
  <c r="D62" i="26" s="1"/>
  <c r="F59" i="26"/>
  <c r="F62" i="26" s="1"/>
  <c r="AD60" i="26"/>
  <c r="AA37" i="22"/>
  <c r="AF67" i="26"/>
  <c r="P67" i="26"/>
  <c r="C65" i="36" s="1"/>
  <c r="H61" i="26"/>
  <c r="H59" i="26" s="1"/>
  <c r="H62" i="26" s="1"/>
  <c r="T10" i="23"/>
  <c r="P9" i="23"/>
  <c r="C10" i="39" s="1"/>
  <c r="C13" i="39" s="1"/>
  <c r="C67" i="36" l="1"/>
  <c r="D33" i="48"/>
  <c r="E33" i="48" s="1"/>
  <c r="F33" i="48" s="1"/>
  <c r="G33" i="48" s="1"/>
  <c r="D31" i="42"/>
  <c r="E31" i="42" s="1"/>
  <c r="F31" i="42" s="1"/>
  <c r="D30" i="48"/>
  <c r="E30" i="48" s="1"/>
  <c r="F30" i="48" s="1"/>
  <c r="G30" i="48" s="1"/>
  <c r="C14" i="42"/>
  <c r="C11" i="50"/>
  <c r="D11" i="48"/>
  <c r="C34" i="36"/>
  <c r="AH60" i="26"/>
  <c r="AH64" i="26" s="1"/>
  <c r="AD64" i="26"/>
  <c r="AA45" i="22"/>
  <c r="V67" i="26"/>
  <c r="C61" i="36" s="1"/>
  <c r="T62" i="26"/>
  <c r="X67" i="26"/>
  <c r="C55" i="36" s="1"/>
  <c r="N67" i="26"/>
  <c r="C54" i="36" s="1"/>
  <c r="J67" i="26"/>
  <c r="C53" i="36" s="1"/>
  <c r="H66" i="26"/>
  <c r="D67" i="26"/>
  <c r="C50" i="36" s="1"/>
  <c r="F67" i="26"/>
  <c r="C51" i="36" s="1"/>
  <c r="AH54" i="26"/>
  <c r="AH65" i="26" s="1"/>
  <c r="AD53" i="26"/>
  <c r="AH53" i="26" s="1"/>
  <c r="AD61" i="26"/>
  <c r="T9" i="23"/>
  <c r="C43" i="36" l="1"/>
  <c r="D19" i="42"/>
  <c r="E19" i="42" s="1"/>
  <c r="F19" i="42" s="1"/>
  <c r="D27" i="48"/>
  <c r="E27" i="48" s="1"/>
  <c r="F27" i="48" s="1"/>
  <c r="G27" i="48" s="1"/>
  <c r="D32" i="48"/>
  <c r="E32" i="48" s="1"/>
  <c r="F32" i="48" s="1"/>
  <c r="G32" i="48" s="1"/>
  <c r="D26" i="48"/>
  <c r="E26" i="48" s="1"/>
  <c r="F26" i="48" s="1"/>
  <c r="G26" i="48" s="1"/>
  <c r="D18" i="42"/>
  <c r="E18" i="42" s="1"/>
  <c r="F18" i="42" s="1"/>
  <c r="D30" i="42"/>
  <c r="E30" i="42" s="1"/>
  <c r="F30" i="42" s="1"/>
  <c r="D29" i="48"/>
  <c r="E29" i="48" s="1"/>
  <c r="F29" i="48" s="1"/>
  <c r="G29" i="48" s="1"/>
  <c r="N28" i="45"/>
  <c r="C72" i="36"/>
  <c r="C78" i="36" s="1"/>
  <c r="B30" i="45"/>
  <c r="D33" i="42"/>
  <c r="E33" i="42" s="1"/>
  <c r="F33" i="42" s="1"/>
  <c r="D24" i="48"/>
  <c r="E24" i="48" s="1"/>
  <c r="F24" i="48" s="1"/>
  <c r="G24" i="48" s="1"/>
  <c r="D16" i="42"/>
  <c r="E16" i="42" s="1"/>
  <c r="F16" i="42" s="1"/>
  <c r="D23" i="48"/>
  <c r="C15" i="50"/>
  <c r="C17" i="50" s="1"/>
  <c r="D11" i="50"/>
  <c r="D11" i="42"/>
  <c r="E11" i="42" s="1"/>
  <c r="F11" i="42" s="1"/>
  <c r="C10" i="45"/>
  <c r="D10" i="45" s="1"/>
  <c r="E10" i="45" s="1"/>
  <c r="F10" i="45" s="1"/>
  <c r="G10" i="45" s="1"/>
  <c r="H10" i="45" s="1"/>
  <c r="I10" i="45" s="1"/>
  <c r="J10" i="45" s="1"/>
  <c r="K10" i="45" s="1"/>
  <c r="L10" i="45" s="1"/>
  <c r="M10" i="45" s="1"/>
  <c r="M20" i="45" s="1"/>
  <c r="D14" i="42"/>
  <c r="D20" i="48"/>
  <c r="E11" i="48"/>
  <c r="AH61" i="26"/>
  <c r="AH66" i="26" s="1"/>
  <c r="AD66" i="26"/>
  <c r="AD67" i="26" s="1"/>
  <c r="AD59" i="26"/>
  <c r="AH59" i="26" s="1"/>
  <c r="AH62" i="26" s="1"/>
  <c r="C59" i="36"/>
  <c r="H67" i="26"/>
  <c r="C52" i="36" s="1"/>
  <c r="AA40" i="22"/>
  <c r="B20" i="45"/>
  <c r="AD62" i="26" l="1"/>
  <c r="C31" i="45"/>
  <c r="D31" i="45" s="1"/>
  <c r="E31" i="45" s="1"/>
  <c r="F31" i="45" s="1"/>
  <c r="G31" i="45" s="1"/>
  <c r="H31" i="45" s="1"/>
  <c r="I31" i="45" s="1"/>
  <c r="J31" i="45" s="1"/>
  <c r="K31" i="45" s="1"/>
  <c r="L31" i="45" s="1"/>
  <c r="M31" i="45" s="1"/>
  <c r="N31" i="45" s="1"/>
  <c r="C23" i="50"/>
  <c r="C25" i="45"/>
  <c r="D25" i="45" s="1"/>
  <c r="E25" i="45" s="1"/>
  <c r="F25" i="45" s="1"/>
  <c r="G25" i="45" s="1"/>
  <c r="H25" i="45" s="1"/>
  <c r="I25" i="45" s="1"/>
  <c r="J25" i="45" s="1"/>
  <c r="K25" i="45" s="1"/>
  <c r="L25" i="45" s="1"/>
  <c r="M25" i="45" s="1"/>
  <c r="C24" i="50"/>
  <c r="C26" i="45"/>
  <c r="D26" i="45" s="1"/>
  <c r="E26" i="45" s="1"/>
  <c r="F26" i="45" s="1"/>
  <c r="G26" i="45" s="1"/>
  <c r="H26" i="45" s="1"/>
  <c r="I26" i="45" s="1"/>
  <c r="J26" i="45" s="1"/>
  <c r="K26" i="45" s="1"/>
  <c r="L26" i="45" s="1"/>
  <c r="M26" i="45" s="1"/>
  <c r="C28" i="50"/>
  <c r="O28" i="50" s="1"/>
  <c r="N30" i="45"/>
  <c r="C49" i="36"/>
  <c r="D25" i="48"/>
  <c r="E25" i="48" s="1"/>
  <c r="F25" i="48" s="1"/>
  <c r="G25" i="48" s="1"/>
  <c r="D17" i="42"/>
  <c r="E17" i="42" s="1"/>
  <c r="F17" i="42" s="1"/>
  <c r="C58" i="36"/>
  <c r="C66" i="36" s="1"/>
  <c r="C73" i="36" s="1"/>
  <c r="D28" i="48"/>
  <c r="E28" i="48" s="1"/>
  <c r="F28" i="48" s="1"/>
  <c r="G28" i="48" s="1"/>
  <c r="E23" i="48"/>
  <c r="D15" i="42"/>
  <c r="C20" i="50"/>
  <c r="C22" i="45"/>
  <c r="C21" i="50"/>
  <c r="C23" i="45"/>
  <c r="D23" i="45" s="1"/>
  <c r="E23" i="45" s="1"/>
  <c r="F23" i="45" s="1"/>
  <c r="G23" i="45" s="1"/>
  <c r="H23" i="45" s="1"/>
  <c r="I23" i="45" s="1"/>
  <c r="J23" i="45" s="1"/>
  <c r="K23" i="45" s="1"/>
  <c r="L23" i="45" s="1"/>
  <c r="M23" i="45" s="1"/>
  <c r="D15" i="50"/>
  <c r="E11" i="50"/>
  <c r="H20" i="45"/>
  <c r="G20" i="45"/>
  <c r="J20" i="45"/>
  <c r="C20" i="45"/>
  <c r="F20" i="45"/>
  <c r="I20" i="45"/>
  <c r="L20" i="45"/>
  <c r="D20" i="45"/>
  <c r="E20" i="45"/>
  <c r="K20" i="45"/>
  <c r="N10" i="45"/>
  <c r="E14" i="42"/>
  <c r="F11" i="48"/>
  <c r="E20" i="48"/>
  <c r="C77" i="36" l="1"/>
  <c r="N26" i="45"/>
  <c r="B32" i="45"/>
  <c r="D23" i="50"/>
  <c r="E23" i="50" s="1"/>
  <c r="F23" i="50" s="1"/>
  <c r="G23" i="50" s="1"/>
  <c r="H23" i="50" s="1"/>
  <c r="I23" i="50" s="1"/>
  <c r="J23" i="50" s="1"/>
  <c r="K23" i="50" s="1"/>
  <c r="L23" i="50" s="1"/>
  <c r="M23" i="50" s="1"/>
  <c r="N23" i="50" s="1"/>
  <c r="D24" i="50"/>
  <c r="E24" i="50" s="1"/>
  <c r="F24" i="50" s="1"/>
  <c r="G24" i="50" s="1"/>
  <c r="H24" i="50" s="1"/>
  <c r="I24" i="50" s="1"/>
  <c r="J24" i="50" s="1"/>
  <c r="K24" i="50" s="1"/>
  <c r="L24" i="50" s="1"/>
  <c r="M24" i="50" s="1"/>
  <c r="N24" i="50" s="1"/>
  <c r="N25" i="45"/>
  <c r="D22" i="45"/>
  <c r="C21" i="42"/>
  <c r="C34" i="42"/>
  <c r="C35" i="42" s="1"/>
  <c r="C36" i="42" s="1"/>
  <c r="D29" i="42"/>
  <c r="N23" i="45"/>
  <c r="F23" i="48"/>
  <c r="E34" i="48"/>
  <c r="C26" i="50"/>
  <c r="C27" i="45"/>
  <c r="C22" i="50"/>
  <c r="C24" i="45"/>
  <c r="D24" i="45" s="1"/>
  <c r="E24" i="45" s="1"/>
  <c r="F24" i="45" s="1"/>
  <c r="G24" i="45" s="1"/>
  <c r="H24" i="45" s="1"/>
  <c r="I24" i="45" s="1"/>
  <c r="J24" i="45" s="1"/>
  <c r="K24" i="45" s="1"/>
  <c r="L24" i="45" s="1"/>
  <c r="M24" i="45" s="1"/>
  <c r="D21" i="50"/>
  <c r="E21" i="50" s="1"/>
  <c r="F21" i="50" s="1"/>
  <c r="G21" i="50" s="1"/>
  <c r="H21" i="50" s="1"/>
  <c r="I21" i="50" s="1"/>
  <c r="J21" i="50" s="1"/>
  <c r="K21" i="50" s="1"/>
  <c r="L21" i="50" s="1"/>
  <c r="M21" i="50" s="1"/>
  <c r="N21" i="50" s="1"/>
  <c r="E15" i="42"/>
  <c r="D21" i="42"/>
  <c r="D20" i="50"/>
  <c r="D34" i="48"/>
  <c r="E15" i="50"/>
  <c r="F11" i="50"/>
  <c r="N20" i="45"/>
  <c r="F14" i="42"/>
  <c r="G11" i="48"/>
  <c r="F20" i="48"/>
  <c r="G20" i="48" s="1"/>
  <c r="C29" i="50" l="1"/>
  <c r="C31" i="50" s="1"/>
  <c r="D5" i="50" s="1"/>
  <c r="D17" i="50" s="1"/>
  <c r="O24" i="50"/>
  <c r="O21" i="50"/>
  <c r="O23" i="50"/>
  <c r="G23" i="48"/>
  <c r="F34" i="48"/>
  <c r="G34" i="48" s="1"/>
  <c r="C39" i="42"/>
  <c r="C22" i="42"/>
  <c r="C23" i="42" s="1"/>
  <c r="C38" i="42" s="1"/>
  <c r="D22" i="42"/>
  <c r="D23" i="42" s="1"/>
  <c r="N24" i="45"/>
  <c r="D27" i="45"/>
  <c r="D26" i="50"/>
  <c r="C32" i="45"/>
  <c r="E20" i="50"/>
  <c r="D22" i="50"/>
  <c r="E22" i="50" s="1"/>
  <c r="F22" i="50" s="1"/>
  <c r="G22" i="50" s="1"/>
  <c r="H22" i="50" s="1"/>
  <c r="I22" i="50" s="1"/>
  <c r="J22" i="50" s="1"/>
  <c r="K22" i="50" s="1"/>
  <c r="L22" i="50" s="1"/>
  <c r="M22" i="50" s="1"/>
  <c r="N22" i="50" s="1"/>
  <c r="E21" i="42"/>
  <c r="F15" i="42"/>
  <c r="F21" i="42" s="1"/>
  <c r="F22" i="42" s="1"/>
  <c r="F23" i="42" s="1"/>
  <c r="D34" i="42"/>
  <c r="D35" i="42" s="1"/>
  <c r="D36" i="42" s="1"/>
  <c r="E29" i="42"/>
  <c r="E22" i="45"/>
  <c r="F15" i="50"/>
  <c r="G11" i="50"/>
  <c r="D29" i="50" l="1"/>
  <c r="D31" i="50" s="1"/>
  <c r="E5" i="50" s="1"/>
  <c r="E17" i="50" s="1"/>
  <c r="F20" i="50"/>
  <c r="E27" i="45"/>
  <c r="E26" i="50"/>
  <c r="E29" i="50" s="1"/>
  <c r="D32" i="45"/>
  <c r="F22" i="45"/>
  <c r="O22" i="50"/>
  <c r="D38" i="42"/>
  <c r="E34" i="42"/>
  <c r="E35" i="42" s="1"/>
  <c r="E36" i="42" s="1"/>
  <c r="F29" i="42"/>
  <c r="F34" i="42" s="1"/>
  <c r="F35" i="42" s="1"/>
  <c r="F36" i="42" s="1"/>
  <c r="F38" i="42" s="1"/>
  <c r="E22" i="42"/>
  <c r="E23" i="42" s="1"/>
  <c r="D39" i="42"/>
  <c r="G15" i="50"/>
  <c r="H11" i="50"/>
  <c r="E31" i="50" l="1"/>
  <c r="F5" i="50" s="1"/>
  <c r="F17" i="50" s="1"/>
  <c r="E39" i="42"/>
  <c r="E38" i="42"/>
  <c r="G22" i="45"/>
  <c r="F39" i="42"/>
  <c r="G20" i="50"/>
  <c r="F27" i="45"/>
  <c r="F32" i="45" s="1"/>
  <c r="F26" i="50"/>
  <c r="F29" i="50" s="1"/>
  <c r="E32" i="45"/>
  <c r="H15" i="50"/>
  <c r="I11" i="50"/>
  <c r="F31" i="50" l="1"/>
  <c r="G5" i="50" s="1"/>
  <c r="G17" i="50" s="1"/>
  <c r="H20" i="50"/>
  <c r="H22" i="45"/>
  <c r="G27" i="45"/>
  <c r="G32" i="45" s="1"/>
  <c r="G26" i="50"/>
  <c r="I15" i="50"/>
  <c r="J11" i="50"/>
  <c r="I22" i="45" l="1"/>
  <c r="G29" i="50"/>
  <c r="G31" i="50" s="1"/>
  <c r="H5" i="50" s="1"/>
  <c r="H17" i="50" s="1"/>
  <c r="H27" i="45"/>
  <c r="H26" i="50"/>
  <c r="H29" i="50" s="1"/>
  <c r="I20" i="50"/>
  <c r="J15" i="50"/>
  <c r="K11" i="50"/>
  <c r="H31" i="50" l="1"/>
  <c r="I5" i="50" s="1"/>
  <c r="I17" i="50" s="1"/>
  <c r="J20" i="50"/>
  <c r="J27" i="45"/>
  <c r="I26" i="50"/>
  <c r="H32" i="45"/>
  <c r="J22" i="45"/>
  <c r="I32" i="45"/>
  <c r="K15" i="50"/>
  <c r="L11" i="50"/>
  <c r="K27" i="45" l="1"/>
  <c r="K26" i="50"/>
  <c r="K22" i="45"/>
  <c r="J32" i="45"/>
  <c r="I29" i="50"/>
  <c r="I31" i="50" s="1"/>
  <c r="J5" i="50" s="1"/>
  <c r="J17" i="50" s="1"/>
  <c r="K20" i="50"/>
  <c r="J29" i="50"/>
  <c r="L15" i="50"/>
  <c r="M11" i="50"/>
  <c r="L27" i="45" l="1"/>
  <c r="L26" i="50"/>
  <c r="J31" i="50"/>
  <c r="K5" i="50" s="1"/>
  <c r="K17" i="50" s="1"/>
  <c r="L20" i="50"/>
  <c r="K29" i="50"/>
  <c r="K32" i="45"/>
  <c r="L22" i="45"/>
  <c r="M15" i="50"/>
  <c r="N11" i="50"/>
  <c r="M27" i="45" l="1"/>
  <c r="M26" i="50"/>
  <c r="K31" i="50"/>
  <c r="L5" i="50" s="1"/>
  <c r="L17" i="50" s="1"/>
  <c r="L32" i="45"/>
  <c r="M22" i="45"/>
  <c r="M32" i="45" s="1"/>
  <c r="M20" i="50"/>
  <c r="L29" i="50"/>
  <c r="N15" i="50"/>
  <c r="O15" i="50" s="1"/>
  <c r="O11" i="50"/>
  <c r="N22" i="45" l="1"/>
  <c r="N26" i="50"/>
  <c r="O26" i="50" s="1"/>
  <c r="N27" i="45"/>
  <c r="N32" i="45"/>
  <c r="L31" i="50"/>
  <c r="M5" i="50" s="1"/>
  <c r="M17" i="50" s="1"/>
  <c r="N20" i="50"/>
  <c r="M29" i="50"/>
  <c r="M31" i="50" l="1"/>
  <c r="N5" i="50" s="1"/>
  <c r="N17" i="50" s="1"/>
  <c r="N29" i="50"/>
  <c r="O29" i="50" s="1"/>
  <c r="O20" i="50"/>
  <c r="N31" i="5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F17" authorId="0" shapeId="0" xr:uid="{4766F4DE-5254-4CFD-8DC3-3B1F8A21D5CB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egyéb kamat bevétel:1257500
</t>
        </r>
      </text>
    </comment>
    <comment ref="N17" authorId="0" shapeId="0" xr:uid="{E1154BD6-E6B5-4024-BC2A-04683ADF60A7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dijákmunka tám.</t>
        </r>
      </text>
    </comment>
    <comment ref="I24" authorId="0" shapeId="0" xr:uid="{AD4AC41E-9F6C-4F9A-B64B-BFC1A442FBDC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11470600+1115300
</t>
        </r>
      </text>
    </comment>
    <comment ref="J24" authorId="0" shapeId="0" xr:uid="{B5902495-DEF2-49AC-B347-A8FAFA275125}">
      <text>
        <r>
          <rPr>
            <b/>
            <sz val="9"/>
            <color indexed="81"/>
            <rFont val="Tahoma"/>
            <family val="2"/>
            <charset val="238"/>
          </rPr>
          <t xml:space="preserve">Szerző:
802769 Ágazati pótlék-szoc. Intézmény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N10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2021.évi állami tám. vissza</t>
        </r>
      </text>
    </comment>
    <comment ref="O10" authorId="0" shapeId="0" xr:uid="{A5375696-F859-4031-BDCD-F03103A974B3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állami visszafiz.</t>
        </r>
      </text>
    </comment>
    <comment ref="I22" authorId="0" shapeId="0" xr:uid="{6D61AF66-65BB-4555-B636-F1F09F5F61B4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közvil.karbantartás
</t>
        </r>
      </text>
    </comment>
    <comment ref="I24" authorId="0" shapeId="0" xr:uid="{EC6E4B73-7598-4350-99C0-7BEBD84BB169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vásárolt élelmezés nyári tábor
</t>
        </r>
      </text>
    </comment>
    <comment ref="T24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egyéb teszk. Beszerzése
Hivatal felújtására
</t>
        </r>
      </text>
    </comment>
    <comment ref="V24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Hivatal felújtása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D27" authorId="0" shapeId="0" xr:uid="{1C8FFBD0-A028-44C7-8BF8-63B08C465B0D}">
      <text>
        <r>
          <rPr>
            <b/>
            <sz val="9"/>
            <color indexed="81"/>
            <rFont val="Tahoma"/>
            <charset val="1"/>
          </rPr>
          <t>Szerző:</t>
        </r>
        <r>
          <rPr>
            <sz val="9"/>
            <color indexed="81"/>
            <rFont val="Tahoma"/>
            <charset val="1"/>
          </rPr>
          <t xml:space="preserve">
Ukrán állampolgárok- étkeztetése+ nyári gyermek felügyelet Csorvási Kft.
</t>
        </r>
      </text>
    </comment>
  </commentList>
</comments>
</file>

<file path=xl/sharedStrings.xml><?xml version="1.0" encoding="utf-8"?>
<sst xmlns="http://schemas.openxmlformats.org/spreadsheetml/2006/main" count="1410" uniqueCount="601">
  <si>
    <t>Bevételi jogcímek</t>
  </si>
  <si>
    <t>1.</t>
  </si>
  <si>
    <t>Sor-
szám</t>
  </si>
  <si>
    <t>2.</t>
  </si>
  <si>
    <t>3.</t>
  </si>
  <si>
    <t>4.</t>
  </si>
  <si>
    <t>Közhatalmi bevételek (4.1+4.2.+4.3.+4.4.)</t>
  </si>
  <si>
    <t>5.</t>
  </si>
  <si>
    <t>Elvonások és befizetések bevételei</t>
  </si>
  <si>
    <t>2.2.-ből EU-s támogatás</t>
  </si>
  <si>
    <t>Működési célú támogatások ÁHT-n belülről (2.1+2.2.)</t>
  </si>
  <si>
    <t>Egyéb felhalmozási célú támogatások</t>
  </si>
  <si>
    <t>3.2.-ből EU-s támogatás</t>
  </si>
  <si>
    <t>Felhalmozási célú támogatások ÁHT-n belülről (3.1.+3.2.)</t>
  </si>
  <si>
    <t>Helyi adók (4.1.1.+….+4.1.3)</t>
  </si>
  <si>
    <t>Értékesítési és forgalmi adók (iparűzési adó)</t>
  </si>
  <si>
    <t>Egyéb közhatalmi bevételek</t>
  </si>
  <si>
    <t xml:space="preserve">Működési bevételek </t>
  </si>
  <si>
    <t>6.</t>
  </si>
  <si>
    <t>Felhalmozási bevételek</t>
  </si>
  <si>
    <t>7.</t>
  </si>
  <si>
    <t>8.</t>
  </si>
  <si>
    <t>Felhalmozási célú átvett pénzeszközök</t>
  </si>
  <si>
    <t>9.</t>
  </si>
  <si>
    <t>10.</t>
  </si>
  <si>
    <t>11.</t>
  </si>
  <si>
    <t>Belföldi értékpapírok bevételei</t>
  </si>
  <si>
    <t>12.</t>
  </si>
  <si>
    <t>13.</t>
  </si>
  <si>
    <t>Belföldi finanszírozás bevételei (13.1.+13.2.)</t>
  </si>
  <si>
    <t>Államháztartáson belüli megelőlegezések</t>
  </si>
  <si>
    <t>14.</t>
  </si>
  <si>
    <t>Külföldi finanszírozás bevételei</t>
  </si>
  <si>
    <t>15.</t>
  </si>
  <si>
    <t>Adóssághoz nem kapcsolódó származékos ügyletek bevételei</t>
  </si>
  <si>
    <t>17.</t>
  </si>
  <si>
    <t>FINANSZÍROZÁSI BEVÉTELEK ÖSSZESEN:(10.+…+16.)</t>
  </si>
  <si>
    <t>18.</t>
  </si>
  <si>
    <t>KIADÁSOK</t>
  </si>
  <si>
    <t>Kiadási jogcímek</t>
  </si>
  <si>
    <t>Személyi juttatások</t>
  </si>
  <si>
    <t>Dologi kiadások</t>
  </si>
  <si>
    <t>Ellátottak pénzbeli juttatásai</t>
  </si>
  <si>
    <t>Egyéb működési célú kiadások</t>
  </si>
  <si>
    <t>Tartalékok</t>
  </si>
  <si>
    <t xml:space="preserve">                 Céltartalék</t>
  </si>
  <si>
    <t>Beruházások</t>
  </si>
  <si>
    <t>Felújítások</t>
  </si>
  <si>
    <t>Egyéb felhalmozási kiadások</t>
  </si>
  <si>
    <t xml:space="preserve">              Egyéb felhalmozási kiadás ÁHT-n kívülre</t>
  </si>
  <si>
    <t>Államháztartáson belüli megelőlegezések visszafizetése</t>
  </si>
  <si>
    <t>Külföldi finanszírozás kiadásai</t>
  </si>
  <si>
    <t>Adóssághoz nem kapcsolódó származékos  ügyletek</t>
  </si>
  <si>
    <t>Váltókiadások</t>
  </si>
  <si>
    <t>KÖLTSÉGVETÉSI BEVÉTELEK ÖSSZESEN: (1+…+8)</t>
  </si>
  <si>
    <t>Bevétel</t>
  </si>
  <si>
    <t>Kiadás</t>
  </si>
  <si>
    <t>A</t>
  </si>
  <si>
    <t>C</t>
  </si>
  <si>
    <t>D</t>
  </si>
  <si>
    <t>E</t>
  </si>
  <si>
    <t>16.</t>
  </si>
  <si>
    <t>Közhatalmi bevételek</t>
  </si>
  <si>
    <t>Működési bevételek</t>
  </si>
  <si>
    <t>Működési célú átvett pénzeszközök</t>
  </si>
  <si>
    <t>B</t>
  </si>
  <si>
    <t>Megnevezés</t>
  </si>
  <si>
    <t>F</t>
  </si>
  <si>
    <t>Összesen:</t>
  </si>
  <si>
    <t>G</t>
  </si>
  <si>
    <t>H</t>
  </si>
  <si>
    <t>I</t>
  </si>
  <si>
    <t>J</t>
  </si>
  <si>
    <t>kötelező/nem kötelező</t>
  </si>
  <si>
    <t>Kiemelt előirányzatok</t>
  </si>
  <si>
    <t>Önkormányzatok működési támogatása</t>
  </si>
  <si>
    <t>Működési célú támogatások államháztartáson belülről</t>
  </si>
  <si>
    <t>Felhalmozási célú támogatások államháztartáson belülről</t>
  </si>
  <si>
    <t>Működési célra átvett pénzeszközök</t>
  </si>
  <si>
    <t>Finansízrozási bevételek</t>
  </si>
  <si>
    <t>Bevételek összesen</t>
  </si>
  <si>
    <t>kötelező</t>
  </si>
  <si>
    <t>nem kötelező</t>
  </si>
  <si>
    <t>Alaptevékenység bevételei összesen</t>
  </si>
  <si>
    <t>Kötelező feladatok:</t>
  </si>
  <si>
    <t>Nem kötelező:</t>
  </si>
  <si>
    <t>Kötelező</t>
  </si>
  <si>
    <t>Nem kötelező</t>
  </si>
  <si>
    <t>Összesen</t>
  </si>
  <si>
    <t>Kötelező mindösszesen:</t>
  </si>
  <si>
    <t>Nem kötelező mindösszesen:</t>
  </si>
  <si>
    <t>Mindösszesen:</t>
  </si>
  <si>
    <t>Felhalmozási célra átvett pénzeszközök</t>
  </si>
  <si>
    <t xml:space="preserve"> Finanszírozási bevételek - Támogatás működésre</t>
  </si>
  <si>
    <t>Szakfeladat</t>
  </si>
  <si>
    <t>Önkormányzati igazgatási tevékenység</t>
  </si>
  <si>
    <t>Alaptevékenység összesen</t>
  </si>
  <si>
    <t>Kötelező:</t>
  </si>
  <si>
    <t>L</t>
  </si>
  <si>
    <t>N</t>
  </si>
  <si>
    <t>P</t>
  </si>
  <si>
    <t>Kötelező/nem kötelező</t>
  </si>
  <si>
    <t>Házi segítségnyújtás</t>
  </si>
  <si>
    <t xml:space="preserve"> </t>
  </si>
  <si>
    <t>K</t>
  </si>
  <si>
    <t>Szociális hozzájárulási adó</t>
  </si>
  <si>
    <t>Önkormányzat által folyósított ellátások</t>
  </si>
  <si>
    <t>Egyéb működési célú kiadások ÁH-n kívülre</t>
  </si>
  <si>
    <t>Egyéb működési célú kiadás ÁH-n belülre</t>
  </si>
  <si>
    <t>Tartalék</t>
  </si>
  <si>
    <t>Finanszírozási kiadások</t>
  </si>
  <si>
    <t>Finanszírozási kiadás Ktgvetési szerveknek</t>
  </si>
  <si>
    <t>Kiadások összesen</t>
  </si>
  <si>
    <t>Kötelező/ nem kötelező</t>
  </si>
  <si>
    <t>Finanszíroszási kiadások</t>
  </si>
  <si>
    <t>ebből: közfoglalkoztatott:</t>
  </si>
  <si>
    <t xml:space="preserve">Engedélyezett létszám </t>
  </si>
  <si>
    <t>Államigazgatási feladatok</t>
  </si>
  <si>
    <t>Államigazgatási</t>
  </si>
  <si>
    <t>Egyéb működési célú kiadások Áht-n kívülre</t>
  </si>
  <si>
    <t>Államigazgatási:</t>
  </si>
  <si>
    <t>államigazgatási</t>
  </si>
  <si>
    <t>Költségvetési maradvány</t>
  </si>
  <si>
    <t>Állami támogatások és megelőlegezések  visszafizetése</t>
  </si>
  <si>
    <t>Államigazgatási mindösszesen:</t>
  </si>
  <si>
    <t>Egyéb Felhalmozási célú kiadás ÁH-n kívülre</t>
  </si>
  <si>
    <t>Egyéb Felhalmozási célú kiadás ÁH-n belülre</t>
  </si>
  <si>
    <t>Önkormányzat létszáma</t>
  </si>
  <si>
    <t>Polgármester</t>
  </si>
  <si>
    <t>Képviselő</t>
  </si>
  <si>
    <t>Önkormányzatok felhalmozási támogatása</t>
  </si>
  <si>
    <t>Előző évi költségvetési maradvány igénybe vétele</t>
  </si>
  <si>
    <t>Elző évi költségvetési maradvány</t>
  </si>
  <si>
    <t>Előző évi költségvetési maradvány</t>
  </si>
  <si>
    <t>2020. 
mód ei.</t>
  </si>
  <si>
    <t>2020. évi eredeti ei.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</si>
  <si>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</si>
  <si>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</si>
  <si>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</si>
  <si>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</si>
  <si>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</si>
  <si>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</si>
  <si>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</si>
  <si>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</si>
  <si>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</si>
  <si>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</si>
  <si>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</si>
  <si>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</si>
  <si>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</si>
  <si>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</si>
  <si>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35.</t>
  </si>
  <si>
    <t>36.</t>
  </si>
  <si>
    <t>37.</t>
  </si>
  <si>
    <t>38.</t>
  </si>
  <si>
    <t>41.</t>
  </si>
  <si>
    <t>42.</t>
  </si>
  <si>
    <t>43.</t>
  </si>
  <si>
    <t>44.</t>
  </si>
  <si>
    <t>45.</t>
  </si>
  <si>
    <t>46.</t>
  </si>
  <si>
    <t>47.</t>
  </si>
  <si>
    <t>48.</t>
  </si>
  <si>
    <t>50.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</si>
  <si>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</si>
  <si>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</si>
  <si>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</si>
  <si>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</si>
  <si>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</si>
  <si>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</si>
  <si>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</si>
  <si>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</si>
  <si>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</si>
  <si>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</si>
  <si>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</si>
  <si>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</si>
  <si>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</si>
  <si>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</si>
  <si>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</si>
  <si>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</si>
  <si>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</si>
  <si>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</si>
  <si>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</si>
  <si>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</si>
  <si>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</si>
  <si>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</si>
  <si>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</si>
  <si>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M</t>
  </si>
  <si>
    <t>O</t>
  </si>
  <si>
    <t>R</t>
  </si>
  <si>
    <t>S</t>
  </si>
  <si>
    <t>T</t>
  </si>
  <si>
    <t>Sor szám</t>
  </si>
  <si>
    <t>Támogatási c. fin. Műveletek</t>
  </si>
  <si>
    <t xml:space="preserve">Közalkalmazott </t>
  </si>
  <si>
    <t>Egyéb működési célú támogatások bevételei(B16)</t>
  </si>
  <si>
    <t>Önkormányzati hivatal igazgatási tevékenysége(011130)</t>
  </si>
  <si>
    <t>Az önkormányzati vagyonnal való gazd.(013350)</t>
  </si>
  <si>
    <t>Támogatási c. finanszírozási műveletek (018030)</t>
  </si>
  <si>
    <t>Civil szervezetek működési támogatása(018030)</t>
  </si>
  <si>
    <t>Kistérségi társulásnak fizetendő díjak: ügyelet, belső ellenőrzés, tagdíj(018030)</t>
  </si>
  <si>
    <t>Hosszabb távú közfoglalkoztatás(041233)</t>
  </si>
  <si>
    <t>Szennyvíz- és ivóvízhálózat gördülő tervezés  beruházás+felújítás + ivóvízágazat 
befizetési kötelezettsége(052020)</t>
  </si>
  <si>
    <t>Közvilágítás(64010)</t>
  </si>
  <si>
    <t>Önkormányzat üzemeltetési feladatok város-és községgazdálkodás feladatból(066020)</t>
  </si>
  <si>
    <t>Háziorvosi feladatok,  alapellátás(072111)</t>
  </si>
  <si>
    <t>Gyermekétkeztetés köznevelési intézményben(096015)</t>
  </si>
  <si>
    <t>Gyermekétkeztetés bölcsödében(104035)</t>
  </si>
  <si>
    <t>Szünidei gyermekétkeztetés(104037)</t>
  </si>
  <si>
    <t>Települési támogatás kiadásai(107060)</t>
  </si>
  <si>
    <t>Önkormányzat által saját hatáskörben adott más ellátás(107060)</t>
  </si>
  <si>
    <t>Éven túli célhitel törlesztése(900060)</t>
  </si>
  <si>
    <t>Cofog/Feladat</t>
  </si>
  <si>
    <t>Q</t>
  </si>
  <si>
    <t>Kamatmentes kölcsön</t>
  </si>
  <si>
    <t>Köztemető fenntartás(013320)</t>
  </si>
  <si>
    <t>Növénytermesztés, állattenyésztés és kapcsolódó szolgáltatások(042130)</t>
  </si>
  <si>
    <t>Nem veszélyes hulladék kezelése, ártalmatlanítása</t>
  </si>
  <si>
    <t>Zöldterület-kezelés(066010)</t>
  </si>
  <si>
    <t>Fizikoterápiás szolgáltatás(072450)</t>
  </si>
  <si>
    <t>Család és nővédelmi egészségügyi gondozás(074031)</t>
  </si>
  <si>
    <t>Ifjúság-egészségügyi gondozás(074032)</t>
  </si>
  <si>
    <t>Üdülői szálláshely-szolgáltatás és étkeztetés(081071)</t>
  </si>
  <si>
    <t>Közművelődés - hagyományos közösségi kulturális értékek gondozása(082092)</t>
  </si>
  <si>
    <t>Esélyegyenlőség elősegítését célzó tevékenységek és programok(107080)</t>
  </si>
  <si>
    <t>Önkormányzatok elszámolásai a központi költségvetéssel (018010)</t>
  </si>
  <si>
    <t>Gyermekek bölcsődei ellátása (Mini bölcsőde kialakítás pályázat) (104031)</t>
  </si>
  <si>
    <t>77.</t>
  </si>
  <si>
    <t>81.</t>
  </si>
  <si>
    <t>82.</t>
  </si>
  <si>
    <t>83.</t>
  </si>
  <si>
    <t>84.</t>
  </si>
  <si>
    <t>85.</t>
  </si>
  <si>
    <t>86.</t>
  </si>
  <si>
    <t>Felhalmozási célú támogatások államháztartáson kívülről</t>
  </si>
  <si>
    <t>Kötelező feladatok</t>
  </si>
  <si>
    <t>Időskorúak bentlakásos szoc. ell.(102023)</t>
  </si>
  <si>
    <t>Idősek nappali ellátása(102031)</t>
  </si>
  <si>
    <t>Idősek nappali ellátása demens(102032)</t>
  </si>
  <si>
    <t>Demens betegek tartós bentl. ellátása(102024)</t>
  </si>
  <si>
    <t>Házi segítségnyújtás(107052)</t>
  </si>
  <si>
    <t>Csorvás Polgármesteri Hivatal</t>
  </si>
  <si>
    <t xml:space="preserve"> Csorvás Város Önk. Óvodája és Bölcsődéje</t>
  </si>
  <si>
    <t xml:space="preserve"> Csorvás Város Önk. Egyesített Szociális Intézménye</t>
  </si>
  <si>
    <t>Közutak, hidak, alagutak üzemeltetése, fenntartása('045160)</t>
  </si>
  <si>
    <t>Víztermelés,-kezelés,-ellátás('063020)</t>
  </si>
  <si>
    <t>Óvoda</t>
  </si>
  <si>
    <t>Egyesített Szociális Intézmény</t>
  </si>
  <si>
    <t>Összesen többlet</t>
  </si>
  <si>
    <t>Államháztartáson belüli megelől. Visszafizetése(K914)</t>
  </si>
  <si>
    <t>Belföldi finanszírozás kiadásai</t>
  </si>
  <si>
    <t>KÖLTSÉGVETÉSI KIADÁSOK ÖSSZESEN:</t>
  </si>
  <si>
    <t>Beruházások (K6)</t>
  </si>
  <si>
    <t xml:space="preserve">Felhalmozási költségvetési kiadások </t>
  </si>
  <si>
    <t>Tartalékok (K513)</t>
  </si>
  <si>
    <t>Egyéb működési célú kiadások (K5)</t>
  </si>
  <si>
    <t>Ellátottak pénzbeli juttatásai (K4)</t>
  </si>
  <si>
    <t>Dologi kiadások (K3)</t>
  </si>
  <si>
    <t>Munkaadókat terhelő járulékok és szochó(K2)</t>
  </si>
  <si>
    <t>Személyi juttatások (K1)</t>
  </si>
  <si>
    <t>34.</t>
  </si>
  <si>
    <t>Működési célú költségvetési tám.és kieg. tám.(B115)</t>
  </si>
  <si>
    <t>Önkormányzatok kulturális feladatainak tám.(B114)</t>
  </si>
  <si>
    <t>Önk. szociális és gyermekjóléti felad. Tám.(B1132)</t>
  </si>
  <si>
    <t>Önk. szociális és gyermekjóléti felad. Tám.(B1131)</t>
  </si>
  <si>
    <t>Önkormányzatok egyes köznevelési feladatainak tám.(B112</t>
  </si>
  <si>
    <t>Helyi önkormányzatok működésének általános tám.(B111)</t>
  </si>
  <si>
    <t>adatok Forintban</t>
  </si>
  <si>
    <t>CSORVÁS VÁROS ÖNKORMÁNYZATA BERUHÁZÁSI ÉS FELÚJÍTÁSI KIADÁSAI</t>
  </si>
  <si>
    <t>Beruházás</t>
  </si>
  <si>
    <t>Eredeti</t>
  </si>
  <si>
    <t>Módosított</t>
  </si>
  <si>
    <t>sor.sz.</t>
  </si>
  <si>
    <t>Intézmény megnevezése</t>
  </si>
  <si>
    <t xml:space="preserve">Eredeti  </t>
  </si>
  <si>
    <t>Csorvási Polgármesteri Hivatal</t>
  </si>
  <si>
    <t>Csorvás Város Önkormányzatának Óvodája és Bölcsődéje</t>
  </si>
  <si>
    <t>Csorvás Város Önkormányzatának Egyesített Szociális Intézménye</t>
  </si>
  <si>
    <t>CSORVÁS VÁROS ÖNKORMÁNYZATA PÉNZESZKÖZ ÁTADÁSAI</t>
  </si>
  <si>
    <t>I.</t>
  </si>
  <si>
    <t>Orosházi Kistérségi Társulás működési költség</t>
  </si>
  <si>
    <t>Családsegítő-, és Gyermekjóléti Szolgálat működésének támogatása</t>
  </si>
  <si>
    <t>Központi Orvosi Ügyelet támogatása</t>
  </si>
  <si>
    <t>Jelzőrendszeres házi segítségnyújtás</t>
  </si>
  <si>
    <t>BURSA Hungarica ösztöndíj pályázat</t>
  </si>
  <si>
    <t>DAREH működési költség</t>
  </si>
  <si>
    <t>Közép-Békési Térség Ivóvízminőség-javító Önkormányzati működési hozzájárulás</t>
  </si>
  <si>
    <t>Csorvási Sportkör támogatása (32/2020. (XII.2.) Polgármesteri Határozat alapján 1 200 000 Ft emelés)</t>
  </si>
  <si>
    <t>Csorvási Fúvószenekar és majorette Alapítvány támogatása</t>
  </si>
  <si>
    <t>Iskolaegészségügyi támogatás</t>
  </si>
  <si>
    <t>Közművelődési, könyvtári és sportfeladatok támogatása</t>
  </si>
  <si>
    <t>Rákóczi Szövetség  támogatása 71/2020. (IX.30.) Kt. Határozat alapján 100 000 Ft/év</t>
  </si>
  <si>
    <t>Elvonások és befizetések</t>
  </si>
  <si>
    <t>Egyéb működési célú kiadások összesen:</t>
  </si>
  <si>
    <t>Egyéb felhalmozási célú kiadások</t>
  </si>
  <si>
    <t>Pénzeszköz átadások összesen:</t>
  </si>
  <si>
    <t>CSORVÁS VÁROS ÖNKORMÁNYZATA ÁLTALÁNOS, MŰKÖDÉSI-, ÉS FEJLESZTÉSI TARTALÉKAI</t>
  </si>
  <si>
    <t>Működési céltartalék</t>
  </si>
  <si>
    <t>Működési céltartalék összesen:</t>
  </si>
  <si>
    <t xml:space="preserve">Általános tartalék </t>
  </si>
  <si>
    <t>Fejlesztési tartalék összesen:</t>
  </si>
  <si>
    <t>Tartalékok mindösszesen:</t>
  </si>
  <si>
    <t>s.sz.</t>
  </si>
  <si>
    <t>M e g n e v e z é s</t>
  </si>
  <si>
    <t>I. Működési bevételek és kiadások</t>
  </si>
  <si>
    <t>Intézményi működési bevételek</t>
  </si>
  <si>
    <t>Működési célú átvett pénzeszközök államháztartáson kívülről</t>
  </si>
  <si>
    <t>Működési célú bev. Össz. (1+…4)</t>
  </si>
  <si>
    <t>Munkaadókat terhelő járulékok és szociális hozzájárulási adó</t>
  </si>
  <si>
    <t>Működési célú kiad. Össz. (6+…11)</t>
  </si>
  <si>
    <t>Működési hiány (5-12)</t>
  </si>
  <si>
    <t xml:space="preserve">Működési hiány finanszírozás belső forrásból </t>
  </si>
  <si>
    <t>II. Felhalmozási célú bevételek és kiadások</t>
  </si>
  <si>
    <t>Felhalmozási célú átvett pénzeszközök államháztartáson kívülről</t>
  </si>
  <si>
    <t>Felhalmozási célú bevételek össz. (15+…17)</t>
  </si>
  <si>
    <t>Fejlesztési céltartalék</t>
  </si>
  <si>
    <t>Finanszírozási célú műveletek (állami támogatás megelőlegezés)</t>
  </si>
  <si>
    <t>Felhalmozási célú kiadások össz.(19+...23)</t>
  </si>
  <si>
    <t>Felhalmozási hiány (18-24)</t>
  </si>
  <si>
    <t>Felhalmozási hiány finanszírozása belső forrásból</t>
  </si>
  <si>
    <t>Felhalmozási hiány finanszírozása külső forrásból</t>
  </si>
  <si>
    <t>Önkormányzat bevételei összesen:(5+14+18+26+27)</t>
  </si>
  <si>
    <t>Önkormányzat kiadásai összesen:(12+24)</t>
  </si>
  <si>
    <t>CSORVÁS VÁROS ÖNKORMÁNYZATA ADÓSSÁGÁNAK ÉS HITELÁLLOMÁNYÁNAK KIMUTATÁSA ÉS A TÖBB ÉVES KIHATÁSSAL JÁRÓ FELADATOK KIADÁSAI ÉVES BONTÁSBAN</t>
  </si>
  <si>
    <t xml:space="preserve">Hitel törlesztések </t>
  </si>
  <si>
    <t>Fejlesztési kiadások</t>
  </si>
  <si>
    <t>Összes kötelezettség:</t>
  </si>
  <si>
    <t>CSORVÁS VÁROS ÖNKORMÁNYZATA ELŐIRÁNYZAT FELHASZNÁLÁSI ÜTEMTERVE</t>
  </si>
  <si>
    <t>I.hó</t>
  </si>
  <si>
    <t>II.hó</t>
  </si>
  <si>
    <t>III.hó</t>
  </si>
  <si>
    <t>IV.hó</t>
  </si>
  <si>
    <t>V.hó</t>
  </si>
  <si>
    <t>VI.hó</t>
  </si>
  <si>
    <t>VII.hó</t>
  </si>
  <si>
    <t>VIII.hó</t>
  </si>
  <si>
    <t>IX.hó</t>
  </si>
  <si>
    <t>X.hó</t>
  </si>
  <si>
    <t>XI.hó</t>
  </si>
  <si>
    <t>XII.hó</t>
  </si>
  <si>
    <t>B e v é t e l e k</t>
  </si>
  <si>
    <t>B e v é t e l e k  összesen:</t>
  </si>
  <si>
    <t xml:space="preserve">K i a d á s o k </t>
  </si>
  <si>
    <t>Értékpapír vásárlása, visszavásárlása</t>
  </si>
  <si>
    <t>K i a d á s o k összesen.</t>
  </si>
  <si>
    <t>Intézmény finanszírozás</t>
  </si>
  <si>
    <t>Ssz.</t>
  </si>
  <si>
    <t>Saját forrás</t>
  </si>
  <si>
    <t>CSORVÁS VÁROS ÖNKORMÁNYZATA ÁLTAL NYÚJTOTT KEDVEZMÉNYEK</t>
  </si>
  <si>
    <t xml:space="preserve">Kedvezmény nélkül elérhető bevétel </t>
  </si>
  <si>
    <t xml:space="preserve">Kedvezmények összege     </t>
  </si>
  <si>
    <t>Helyi adó bevételek</t>
  </si>
  <si>
    <t>Kommunális adó kedvezmény</t>
  </si>
  <si>
    <t>Iparűzési adó kedvezmény</t>
  </si>
  <si>
    <t>CSORVÁS VÁROS ÖNKORMÁNYZATA 4 ÉVES PÉNZFORGALMI MÉRLEGE</t>
  </si>
  <si>
    <t>Rovat szám</t>
  </si>
  <si>
    <t>2023      terv</t>
  </si>
  <si>
    <t>B E V É T E L E K</t>
  </si>
  <si>
    <t>B3</t>
  </si>
  <si>
    <t>B4</t>
  </si>
  <si>
    <t>B65</t>
  </si>
  <si>
    <t>B5</t>
  </si>
  <si>
    <t>B7</t>
  </si>
  <si>
    <t>B2</t>
  </si>
  <si>
    <t>B8131</t>
  </si>
  <si>
    <t>Államháztartáson belüli megelőlegezések bevétele</t>
  </si>
  <si>
    <t>B814</t>
  </si>
  <si>
    <t>Bevételek összesen:</t>
  </si>
  <si>
    <t>K1</t>
  </si>
  <si>
    <t>K2</t>
  </si>
  <si>
    <t>K3</t>
  </si>
  <si>
    <t>K4</t>
  </si>
  <si>
    <t>K5</t>
  </si>
  <si>
    <t>K6</t>
  </si>
  <si>
    <t>K7</t>
  </si>
  <si>
    <t>K8</t>
  </si>
  <si>
    <t>K912</t>
  </si>
  <si>
    <t>K513</t>
  </si>
  <si>
    <t>Államháztartáson belüli megelőlegezés kiadása</t>
  </si>
  <si>
    <t>K914</t>
  </si>
  <si>
    <t>CSORVÁS VÁROS ÖNKORMÁNYZATA SAJÁT BEVÉTELEINEK BEMUTATÁSA A 353/2011. (XII.30.) KORMÁNYRENDELET 2.§ (1) BEKEZDÉSE SZERINTI BONTÁSBAN</t>
  </si>
  <si>
    <t>Költségvetési év</t>
  </si>
  <si>
    <t>Saját bevétel</t>
  </si>
  <si>
    <t xml:space="preserve"> helyi adóból és a települési adóból származó bevétel</t>
  </si>
  <si>
    <t>az önkormányzati vagyon és az önkormányzatot megillető vagyoni értékű
jog értékesítéséből és hasznosításából származó bevétel (bérleti díj)</t>
  </si>
  <si>
    <t>az osztalék, a koncessziós díj és a hozambevétel</t>
  </si>
  <si>
    <t>a tárgyi eszköz és az immateriális jószág, részvény, részesedés, vállalat
értékesítéséből vagy privatizációból származó bevétel</t>
  </si>
  <si>
    <t>bírság-, pótlék- és díjbevétel</t>
  </si>
  <si>
    <t>a kezesség-, illetve garanciavállalással kapcsolatos megtérülés</t>
  </si>
  <si>
    <t>Saját bevétel összesen:</t>
  </si>
  <si>
    <t>I. hó</t>
  </si>
  <si>
    <t>II. hó</t>
  </si>
  <si>
    <t>III. hó</t>
  </si>
  <si>
    <t>IV. hó</t>
  </si>
  <si>
    <t>V. hó</t>
  </si>
  <si>
    <t xml:space="preserve">VIII.hó </t>
  </si>
  <si>
    <t>X. hó</t>
  </si>
  <si>
    <t>XI. hó</t>
  </si>
  <si>
    <t>XII. hó</t>
  </si>
  <si>
    <t>Nyitó pénzkészlet</t>
  </si>
  <si>
    <t>Bevételek</t>
  </si>
  <si>
    <t>Önkormányzat működési tám.</t>
  </si>
  <si>
    <t>Működési célú támog.áht-n b.</t>
  </si>
  <si>
    <t>Felh. célú átvett pénzeszk.</t>
  </si>
  <si>
    <t>Nyitó + Bev. össz.:</t>
  </si>
  <si>
    <t>Kiadások</t>
  </si>
  <si>
    <t>Személyi juttatás</t>
  </si>
  <si>
    <t>Munkaadókat terhelő járulék.</t>
  </si>
  <si>
    <t>Egyéb működési kiadás</t>
  </si>
  <si>
    <t>Felújítás, berzházás</t>
  </si>
  <si>
    <t>Egyéb felhalmozási kiadás</t>
  </si>
  <si>
    <t>Állami támog.megelőleg.vfiz.</t>
  </si>
  <si>
    <t>Kiadások összesen:</t>
  </si>
  <si>
    <t>Záró pénzkészlet</t>
  </si>
  <si>
    <t>Bizottságok nem képviselő tagjai</t>
  </si>
  <si>
    <t>Alpolgármester, önkormányzati képviselő</t>
  </si>
  <si>
    <t>Mindösszesen</t>
  </si>
  <si>
    <t>Csorvás Város Önkormányzata</t>
  </si>
  <si>
    <t>Közfoglalkoztatott</t>
  </si>
  <si>
    <t xml:space="preserve">Munka tövénykönyves </t>
  </si>
  <si>
    <t>Közalkalmazott</t>
  </si>
  <si>
    <t>Köztisztviselő</t>
  </si>
  <si>
    <t>Intézmény</t>
  </si>
  <si>
    <t>Engedélyezett álláshely/Foglalkoztatotti létszám</t>
  </si>
  <si>
    <t>Fő</t>
  </si>
  <si>
    <t>CSORVÁS VÁROS ÖNKORMÁNYZATA ÉS KÖLTSÉGVETÉSI SZERVEI ÁLTAL FOGL. LÉTSZÁMADATAI</t>
  </si>
  <si>
    <t>Önkormányzati igazgatás('011130)</t>
  </si>
  <si>
    <t>Adatok  Ft-ban</t>
  </si>
  <si>
    <t>TOP-1.4.1-19-BSI-2019-00014 Mini bölcsőde kialakítása</t>
  </si>
  <si>
    <t>Egyesített Szociális Intézmény-egyéb tárgyi eszközök</t>
  </si>
  <si>
    <t>Adatok Ft-ban</t>
  </si>
  <si>
    <t>Csorvás Város Önk. Óvodája és Bölcsődéje</t>
  </si>
  <si>
    <t>Felújtás</t>
  </si>
  <si>
    <t>Összesen felhalmozási kiadások:</t>
  </si>
  <si>
    <t>Egyesített Szociális Intézmény lakóinak befizetéseinek egyenlege a letéti számlán</t>
  </si>
  <si>
    <t>MFP közterület karbantartás eszközbeszerzé</t>
  </si>
  <si>
    <t>Tartalék egyéb visszafizetésre</t>
  </si>
  <si>
    <t>sor szám</t>
  </si>
  <si>
    <t>Eredeti előirányzat</t>
  </si>
  <si>
    <t>Módosított előirányzat</t>
  </si>
  <si>
    <t>33.</t>
  </si>
  <si>
    <t>Maradvány igénybev.</t>
  </si>
  <si>
    <t>2024      terv</t>
  </si>
  <si>
    <t>B1</t>
  </si>
  <si>
    <t>CSORVÁS VÁROS ÖNKORMÁNYZATA ÉS KÖLTSÉGVETÉSI SZERVEI PÉNZELLÁTÁSA</t>
  </si>
  <si>
    <t xml:space="preserve">Likviditási ütemterv </t>
  </si>
  <si>
    <t>Csorváson működő önszerveződő közösségek támogatása</t>
  </si>
  <si>
    <t>2021. évi
mód. előirányzat</t>
  </si>
  <si>
    <t>Magánszemélyek kommunális adója</t>
  </si>
  <si>
    <t>KÖLTSÉGVETÉSI, FINANSZÍROZÁSI BEVÉTELEK ÉS KIADÁSOK EGYENLEGE</t>
  </si>
  <si>
    <t>Kormányzati funkció</t>
  </si>
  <si>
    <t xml:space="preserve">Működési. Átvett  bev. </t>
  </si>
  <si>
    <t>CSORVÁS VÁROS ÖNKORMÁNYZATA EURÓPAI UNIÓS FORRÁSBÓL MEGVALÓSULÓ PROJEKTEK BEVÉTELEI ÉS KIADÁSAI, EU-S PROJEKTEKHEZ TÖRTÉNŐ HOZZÁJÁRULÁSOK</t>
  </si>
  <si>
    <t>TOP.1.4.1-16-BS1-2019/00014  Mini bölcsőde kialakítása</t>
  </si>
  <si>
    <t>Önkormányzatok elszámolásai a központi költségvetéssel('011810)</t>
  </si>
  <si>
    <t>Lakóingatlan bérbeadás, üzemeltetés('013350)</t>
  </si>
  <si>
    <t>Hosszabb időtartamú közfoglalkoztatás('041233)</t>
  </si>
  <si>
    <t>Növénytermesztés, állattenyésztés és kapcsolódó szolgáltatások('042130)</t>
  </si>
  <si>
    <t>Máshova nem sorolt gazdasági ügyek(049010)</t>
  </si>
  <si>
    <t>Településfejlesztési projektek('062020)</t>
  </si>
  <si>
    <t>Város-,községgazd. Egyéb szolg.('066020)</t>
  </si>
  <si>
    <t>Család és nővédelmi egészségügyi gondozás('074031)</t>
  </si>
  <si>
    <t>Ifjúság-egészségügyi gondozás('074032)</t>
  </si>
  <si>
    <t>Üdülői szálláshely-szolgáltatás és étkeztetés('081071)</t>
  </si>
  <si>
    <t>Gyermekétkeztetés köznevelési intézményben('096015)</t>
  </si>
  <si>
    <t>Önkormányzatok funkcióra nem sorolható bevételei államháztartáson kívülről(900020)</t>
  </si>
  <si>
    <t>ESZI felújtás</t>
  </si>
  <si>
    <t>Felhalmozási célú önkormányzati támogatások(B21)</t>
  </si>
  <si>
    <t>('042120-Mezőgazdasági támogatások</t>
  </si>
  <si>
    <t>Óvodai nevelés, ellátás('091110)</t>
  </si>
  <si>
    <t>Sajátos nevelési igényű gyermekek óvodai nevelésének, ellátásának szakmai feladatai('091120)</t>
  </si>
  <si>
    <t>Gyermekétkeztetés köznevelési intézményben ('096015)</t>
  </si>
  <si>
    <t>Gyermekek bölcsődében és mini bölcsődében történő ellátása (104031)</t>
  </si>
  <si>
    <t>Gyermekétkeztetés bölcsődében, fogyatékosok nappali intézményében (104035)</t>
  </si>
  <si>
    <t>Óvodai nevelés, ellátás működtetési feladatai ('091140)</t>
  </si>
  <si>
    <t>Közutak, hidak,aklagutak üzemeltetése, fenntartása(045160)</t>
  </si>
  <si>
    <t>Időskorúak bentlakásos szoc. ell. (102023)</t>
  </si>
  <si>
    <t>Demens betegek tartós bentlakásos ellátása(102024)</t>
  </si>
  <si>
    <t>Idősek nappali ellátásademens(102032)</t>
  </si>
  <si>
    <t>Szociális étkeztetés(107051)</t>
  </si>
  <si>
    <t>Csorvás Város Önkormányzata 2022. évi bevételeinek alakulása - Csorvási Polgármesteri Hivatal 
forintban</t>
  </si>
  <si>
    <t>2022. évi eredeti ei.</t>
  </si>
  <si>
    <t>2022. 
mód ei.</t>
  </si>
  <si>
    <t>5.  melléklet az önkormányzat 2022. évi költségvetésról szóló ../2022. (…..) önkormányzati rendelethez</t>
  </si>
  <si>
    <t>Csorvás Város Önkormányzatának Óvodája és Bölcsődéje 2022. évi bevételeinek alakulása
forintban</t>
  </si>
  <si>
    <t xml:space="preserve">9. melléklet az Önkormányzat 2022. évi költségvetéséről szóló ../2022. (....) önkormányzati  rendelethez </t>
  </si>
  <si>
    <t>Csorvás Város Önkormányzatának Óvodája és Bölcsődéje 2022. évi kiadások kiemelt előirányzatonként
forintban</t>
  </si>
  <si>
    <t>Támogatási célú finanszírozási műveletek(018030)</t>
  </si>
  <si>
    <t>Óvodai nevelés, ellátás ( '091110)</t>
  </si>
  <si>
    <t>Óvodai nevelés, működési ( '091140)</t>
  </si>
  <si>
    <t>Gyermekétkeztetés bőlcsődében (104035)</t>
  </si>
  <si>
    <t>Gyermekek bölcsődében és minibölcsődében ellátása (104031)</t>
  </si>
  <si>
    <t>4.  melléklet az önkormányzat 2022 évi költségvetésról szóló .../2022. (…..) önkormányzati rendelethez</t>
  </si>
  <si>
    <t>8. melléklet az önkormányzat 2021. évi költségvetésról szóló ../2022. (…..) önkormányzati rendelethez</t>
  </si>
  <si>
    <t>Csorvás Város Önkormányzatának Egyesített Szociális Intézménye 2022. évi kiadások kiemelt előirányzatonként
forintban</t>
  </si>
  <si>
    <t>2022 évi eredeti ei.</t>
  </si>
  <si>
    <t>Hosszabb időtart.közfogl.('041233)</t>
  </si>
  <si>
    <t>2022. évi előirányzat</t>
  </si>
  <si>
    <t>Önkormányzatokfinanszirozások ('018030)</t>
  </si>
  <si>
    <t>2. melléklet az önkormányzat 2022. évi költségvetésról szóló ../2022. (…...) önkormányzati rendelethez</t>
  </si>
  <si>
    <t xml:space="preserve">Csorvás Város Önkormányzat 2022 évi bevételeinek alakulása -kormányzati funkcióként </t>
  </si>
  <si>
    <t>2022. előirányzat</t>
  </si>
  <si>
    <t>2022. 
előirányzat</t>
  </si>
  <si>
    <t>Mezőgazdasági támogatások(042120)</t>
  </si>
  <si>
    <t>Településfejlesztési projektek  (062020)</t>
  </si>
  <si>
    <t>Az Önkormányzat 2022. évi költségvetésének bevételei:</t>
  </si>
  <si>
    <t>2022. évi 
előirányzat</t>
  </si>
  <si>
    <t>2022. évi
mód. előirányzat</t>
  </si>
  <si>
    <t>Közmunkaprogramban részt vevő 2021.03.01-2022.02.28.</t>
  </si>
  <si>
    <t>Közmunkaprogramban részt vevő :</t>
  </si>
  <si>
    <t>Csorvási Polgármesteri Hivatal 2022. évi kiadások kiemelt előirányzatonként
forintban</t>
  </si>
  <si>
    <t>10. melléklet az önkormányzat 2022. évi költségvetésról szóló ../2022. (…...) önkormányzati rendelethez</t>
  </si>
  <si>
    <t>11. melléklet az önkormányzat 2022. évi költségvetésról szóló ../2022. (…..) önkormányzati rendelethez</t>
  </si>
  <si>
    <t>12. melléklet az önkormányzat 2022. évi költségvetésról szóló ../2022. (…...) önkormányzati rendelethez</t>
  </si>
  <si>
    <t>14. melléklet az önkormányzat 2022. évi költségvetésról szóló .../2022. (…..) önkormányzati rendelethez</t>
  </si>
  <si>
    <t>2022.évi Eredeti előirányzat</t>
  </si>
  <si>
    <t>2022.évi Módosított előirányzat</t>
  </si>
  <si>
    <t>15. mellékletaz önkormányzat 2022. évi költségvetésról szóló ../2022. (…..) önkormányzati rendelethez</t>
  </si>
  <si>
    <t>CSORVÁS VÁROS ÖNKORMÁNYZATA MŰKÖDÉSI ÉS FEJLESZTÉSI CÉLÚ BEVÉTELEK ÉS KIADÁSOK ALAKULÁSÁT BEMUTATÓ MÉRLEG 2022-2025 IDŐSZAKRA</t>
  </si>
  <si>
    <t>16. melléklet az önkormányzat 2022. évi költségvetésról szóló ../2022. (…...) önkormányzati rendelethez</t>
  </si>
  <si>
    <t>17. melléklet az önkormányzat 2022. évi költségvetésról szóló ../2022. (…...) önkormányzati rendelethez</t>
  </si>
  <si>
    <t>18. melléklet az önkormányzat 2022. évi költségvetésról szóló ../2022. (….) önkormányzati rendelethez</t>
  </si>
  <si>
    <t>19. melléklet az önkormányzat 2022. évi költségvetésról szóló ../2022. (…...) önkormányzati rendelethez</t>
  </si>
  <si>
    <t>2022.évi tervezett bevétel</t>
  </si>
  <si>
    <t>20. melléklet az Önkormányzat 2022. évi költségvetéséről szóló ../2022. (…...) önkormányzati rendelethez</t>
  </si>
  <si>
    <t>2022    terv</t>
  </si>
  <si>
    <t>2025      terv</t>
  </si>
  <si>
    <t>Önkormányzat térfigyelő kamerák</t>
  </si>
  <si>
    <t>Gyalogátkelőhely rendszer(okos zebrák)</t>
  </si>
  <si>
    <t>Önkormányzat (Polgármesteri hivatal)épület. Felújtása</t>
  </si>
  <si>
    <t xml:space="preserve">Vízmű rekonstrukciós </t>
  </si>
  <si>
    <t>Kossuth és Batthyány utcák szakaszos burkolatfelújtása, egyéb utak burkolatfelújtása</t>
  </si>
  <si>
    <t>TOP.1.4.1-16-BS1-2018-00044(Óvodai kültéri eszközfejleszése-kültéri játékok beszerzése)</t>
  </si>
  <si>
    <t>Önkormányzati épületek energetikai korszerüsítése-Napelemes fejlesztés és tornacsarnok villamosság korszerüsítése</t>
  </si>
  <si>
    <t>MFP-ÖTIK/2021.3284982176 -Városháza tetőfelújtása</t>
  </si>
  <si>
    <t>MFP-ÖTIK/2021.3284944660 -Edison klub felújtása</t>
  </si>
  <si>
    <t>Polgármester Hivatal egyéb tárgyi eszközök, informatikai eszközök beszerzése</t>
  </si>
  <si>
    <t>Önkormányzat -Polgármester Hivatal étkező konyha kialakítása, egyéb tárgy eszközök beszerzése</t>
  </si>
  <si>
    <t>Önkormányzat-egyéb tárgyi eszközök beszerzése</t>
  </si>
  <si>
    <t>Önkormányzat-közvilágitás felújtás</t>
  </si>
  <si>
    <t>Egyéb működési célú támogatások -ifjúság-egészségügyi gondozás</t>
  </si>
  <si>
    <t>Egyéb bírság bevételei</t>
  </si>
  <si>
    <t>Egyéb kölcsön visszatérítése</t>
  </si>
  <si>
    <t>Működési célra átadott pénzeszközök visszatérítése</t>
  </si>
  <si>
    <t>Szennyvíz gyűjtése,tisztítása'052020</t>
  </si>
  <si>
    <t>Működési c. átvet  p. eszközök</t>
  </si>
  <si>
    <t>21. mellékletaz önkormányzat 2022. évi költségvetésról szóló ../2022. (…..) önkormányzati rendelethez</t>
  </si>
  <si>
    <t>22. melléklet az önkormányzat 2022. évi költségvetésról szóló ../2022. (…..) önkormányzati rendelethez</t>
  </si>
  <si>
    <t>Felhalmozási háztartástól visszafizetése</t>
  </si>
  <si>
    <t>Működési célú kölcsőn vissza államháztartáson kívülről</t>
  </si>
  <si>
    <t>Közfoglalkoztatási hosszabb idő foglalkoztatási pályázat önerő 10%(2022.03.01-2022.07.31)</t>
  </si>
  <si>
    <t>Pályázat önerőre használható tartalék:</t>
  </si>
  <si>
    <t>Vidékfejlesztési Program keretében külterületi közutak fejlesztése</t>
  </si>
  <si>
    <t>Közvilágítás körszerüsítése</t>
  </si>
  <si>
    <t>Előző évi pénzeszközozök kölcsön adott visszafizet.</t>
  </si>
  <si>
    <t>Háztartástól kapott pénz</t>
  </si>
  <si>
    <t>Állami támogatás</t>
  </si>
  <si>
    <t>3. melléklet az önkormányzat 2022. évi költségvetésról szóló ../2022. (…..) önkormányzati rendelethez</t>
  </si>
  <si>
    <t>13. melléklet az önkormányzat 2022. évi költségvetésról szóló .../2022. (…...) önkormányzati rendelethez</t>
  </si>
  <si>
    <t>6.  melléklet az önkormányzat 2022. évi költségvetésról szóló ../2022. (....) önkormányzati rendelethez</t>
  </si>
  <si>
    <t>7.  melléklet az önkormányzat 2022. évi költségvetésról szóló ../2022. (…....) önkormányzati rendelethez</t>
  </si>
  <si>
    <t xml:space="preserve">Csorvás Város Önkormányzatának Egyesített Szociális Intézménye 2022. évi bevételeinek alakulása                                                                                                              </t>
  </si>
  <si>
    <t xml:space="preserve"> adatok Ft-ban</t>
  </si>
  <si>
    <t>Költségvetési hiány, többlet (költségvetési bevételek 27. sor -
 költségvetési kiadások 18. sor) (+/-)</t>
  </si>
  <si>
    <t>Finanszírozási bevételek kiadások egyenlege (finanszírozási bevételek 35. sor - finanszírozási kiadások 29 sor) (+/-)</t>
  </si>
  <si>
    <t>Az Önkormányzat 2022. évi költségvetési 
bevételei és kiadásai mérlegét jogcímek szerint</t>
  </si>
  <si>
    <t>Csorvás Város Önkormányzata , intézményei és összesen kötelező, önként vállalt-és államigazgatási feladatok   kormányzati funkcióként 
forintban</t>
  </si>
  <si>
    <t>KÖLTSÉGVETÉSI ÉS FINANSZÍROZÁSI BEVÉTELEK
ÖSSZESEN: (27.+35.)</t>
  </si>
  <si>
    <t>Működési költségvetés kiadásai (1-6)</t>
  </si>
  <si>
    <t>Tartalékbóll: Általános tartalék</t>
  </si>
  <si>
    <t>Beruházás-ből EU- forrásból megvalósuló beruházás</t>
  </si>
  <si>
    <t>felújtás-ból EU- forrásból megvalósuló felújítás (K7)</t>
  </si>
  <si>
    <t>ből Egyéb felhalmozási kiadás ÁHT-n belülre</t>
  </si>
  <si>
    <t>FINANSZÍROZÁSI KIADÁSOK ÖSSZESEN: (25-28.)</t>
  </si>
  <si>
    <t>KIADÁSOK ÖSSZESEN: (7+18+29)</t>
  </si>
  <si>
    <t>Országgyűlési képviselőválasztás('016010)</t>
  </si>
  <si>
    <t>Közfogl. Bér('041233)</t>
  </si>
  <si>
    <t>Külterületi útak-VP-pályázat</t>
  </si>
  <si>
    <t>MFP-út felújtása Szántó J. utca</t>
  </si>
  <si>
    <t>Könyvtár nyilászárok MFP-pályázat</t>
  </si>
  <si>
    <t>Temető-urnafalépítése- MFP-pályázat</t>
  </si>
  <si>
    <t>Kommunális fügesztett sószóró</t>
  </si>
  <si>
    <t>Átfogó tervezési és statisztikai szolg.('013210)</t>
  </si>
  <si>
    <t>EFOP pályázat visszafizetés</t>
  </si>
  <si>
    <t>Állám.Megellőleg.</t>
  </si>
  <si>
    <t>Köztemető-fenntartás-és működtetés('013320)</t>
  </si>
  <si>
    <t>Önkormányzatok működési támogatásai (1+……+8.)</t>
  </si>
  <si>
    <t xml:space="preserve">                                                1. melléklet az önkormányzat 2022. évi költségvetésról szóló ../2022. (…....) 
                                                                                                                                önkormányzati rendelethez</t>
  </si>
  <si>
    <t xml:space="preserve">Gyomai üdűlő </t>
  </si>
  <si>
    <t>Máshova nem sorolt gazdasági ügyek('049010)</t>
  </si>
  <si>
    <t>Könyvtári állomány gyarapítása, nyilvántartása('082042)</t>
  </si>
  <si>
    <t>Elszámolásból származó bevételek(B116)</t>
  </si>
  <si>
    <t>Kötelező feladatok('011130)</t>
  </si>
  <si>
    <t>Államigazgatási feladatok('011130)</t>
  </si>
  <si>
    <t>Mini bölcsőde-felújtás</t>
  </si>
  <si>
    <t>Önkormányzat egyéb épületek felújtása</t>
  </si>
  <si>
    <t>Külterületi útak-VP-pályázat-felújtása</t>
  </si>
  <si>
    <t>Közvilágítás korszerüsítése</t>
  </si>
  <si>
    <t>Hő-szolgáltató rendszer beszerzése</t>
  </si>
  <si>
    <t>Egyéb kisértékü tárgy eszközök</t>
  </si>
  <si>
    <t>Háztartásnak átadott pénzeszközök</t>
  </si>
  <si>
    <t>Szennyvíztelep fejlesztése-KEHOP-2.2.2-15.2021-00161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</si>
</sst>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F_t_-;\-* #,##0.00\ _F_t_-;_-* &quot;-&quot;??\ _F_t_-;_-@_-"/>
    <numFmt numFmtId="164" formatCode="_-* #,##0.00_-;\-* #,##0.00_-;_-* &quot;-&quot;??_-;_-@_-"/>
    <numFmt numFmtId="165" formatCode="#,##0.000"/>
    <numFmt numFmtId="166" formatCode="_-* #,##0_-;\-* #,##0_-;_-* &quot;-&quot;??_-;_-@_-"/>
    <numFmt numFmtId="167" formatCode="#\ ##0"/>
    <numFmt numFmtId="168" formatCode="#,"/>
    <numFmt numFmtId="169" formatCode="#"/>
    <numFmt numFmtId="170" formatCode="0\ 000"/>
    <numFmt numFmtId="171" formatCode="#,##0\ _F_t"/>
    <numFmt numFmtId="172" formatCode="#,##0.0000"/>
    <numFmt numFmtId="173" formatCode="#,##0\ &quot;Ft&quot;"/>
    <numFmt numFmtId="174" formatCode="#,##0.0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b/>
      <sz val="11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12"/>
      <color rgb="FF000000"/>
      <name val="Arial"/>
      <family val="2"/>
    </font>
    <font>
      <sz val="9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MS Sans Serif"/>
      <family val="2"/>
      <charset val="238"/>
    </font>
    <font>
      <sz val="10"/>
      <color indexed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erminal"/>
      <family val="3"/>
      <charset val="255"/>
    </font>
    <font>
      <b/>
      <sz val="10"/>
      <name val="Terminal"/>
      <family val="3"/>
      <charset val="255"/>
    </font>
    <font>
      <b/>
      <sz val="10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u/>
      <sz val="10"/>
      <name val="Times New Roman CE"/>
      <family val="1"/>
      <charset val="238"/>
    </font>
    <font>
      <u/>
      <sz val="10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sz val="8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9"/>
      <name val="Times New Roman CE"/>
      <family val="1"/>
      <charset val="238"/>
    </font>
    <font>
      <sz val="9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10"/>
      <color rgb="FF000000"/>
      <name val="Arial CE"/>
      <family val="2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"/>
      <name val="Arial CE"/>
      <family val="2"/>
      <charset val="238"/>
    </font>
    <font>
      <sz val="8"/>
      <color rgb="FF000000"/>
      <name val="Arial"/>
      <family val="2"/>
    </font>
    <font>
      <b/>
      <sz val="14"/>
      <color rgb="FF000000"/>
      <name val="Arial"/>
      <family val="2"/>
      <charset val="238"/>
    </font>
    <font>
      <sz val="14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Arial"/>
      <family val="2"/>
      <charset val="238"/>
    </font>
    <font>
      <i/>
      <sz val="10"/>
      <color theme="1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1" fillId="0" borderId="0"/>
    <xf numFmtId="0" fontId="37" fillId="0" borderId="0"/>
    <xf numFmtId="0" fontId="3" fillId="0" borderId="0"/>
    <xf numFmtId="0" fontId="31" fillId="0" borderId="0"/>
    <xf numFmtId="164" fontId="39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31" fillId="0" borderId="0"/>
    <xf numFmtId="0" fontId="52" fillId="0" borderId="0"/>
    <xf numFmtId="0" fontId="31" fillId="0" borderId="0"/>
    <xf numFmtId="0" fontId="31" fillId="0" borderId="0"/>
    <xf numFmtId="0" fontId="79" fillId="0" borderId="0"/>
    <xf numFmtId="0" fontId="91" fillId="0" borderId="0"/>
  </cellStyleXfs>
  <cellXfs count="827">
    <xf numFmtId="0" fontId="0" fillId="0" borderId="0" xfId="0"/>
    <xf numFmtId="0" fontId="10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vertical="center"/>
    </xf>
    <xf numFmtId="0" fontId="9" fillId="0" borderId="0" xfId="1" applyFont="1" applyFill="1"/>
    <xf numFmtId="0" fontId="23" fillId="0" borderId="1" xfId="5" applyFont="1" applyFill="1" applyBorder="1" applyAlignment="1">
      <alignment vertical="center"/>
    </xf>
    <xf numFmtId="0" fontId="24" fillId="0" borderId="1" xfId="5" applyFont="1" applyFill="1" applyBorder="1" applyAlignment="1">
      <alignment horizontal="center"/>
    </xf>
    <xf numFmtId="0" fontId="15" fillId="0" borderId="1" xfId="5" applyFont="1" applyFill="1" applyBorder="1" applyAlignment="1">
      <alignment vertical="center"/>
    </xf>
    <xf numFmtId="3" fontId="28" fillId="0" borderId="1" xfId="5" applyNumberFormat="1" applyFont="1" applyFill="1" applyBorder="1" applyAlignment="1">
      <alignment horizontal="right" vertical="center"/>
    </xf>
    <xf numFmtId="3" fontId="28" fillId="0" borderId="1" xfId="5" applyNumberFormat="1" applyFont="1" applyFill="1" applyBorder="1" applyAlignment="1">
      <alignment horizontal="right" vertical="center" wrapText="1"/>
    </xf>
    <xf numFmtId="0" fontId="21" fillId="0" borderId="0" xfId="5" applyFont="1" applyFill="1"/>
    <xf numFmtId="0" fontId="15" fillId="2" borderId="1" xfId="5" applyFont="1" applyFill="1" applyBorder="1" applyAlignment="1">
      <alignment vertical="center"/>
    </xf>
    <xf numFmtId="0" fontId="21" fillId="0" borderId="1" xfId="5" applyFont="1" applyFill="1" applyBorder="1" applyAlignment="1">
      <alignment horizontal="center"/>
    </xf>
    <xf numFmtId="0" fontId="26" fillId="0" borderId="1" xfId="5" applyFont="1" applyFill="1" applyBorder="1" applyAlignment="1">
      <alignment horizontal="center" wrapText="1"/>
    </xf>
    <xf numFmtId="0" fontId="27" fillId="0" borderId="1" xfId="5" applyFont="1" applyFill="1" applyBorder="1" applyAlignment="1">
      <alignment horizontal="center" vertical="center"/>
    </xf>
    <xf numFmtId="0" fontId="28" fillId="0" borderId="1" xfId="5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 wrapText="1"/>
    </xf>
    <xf numFmtId="0" fontId="21" fillId="0" borderId="1" xfId="5" applyFont="1" applyFill="1" applyBorder="1"/>
    <xf numFmtId="0" fontId="26" fillId="0" borderId="1" xfId="5" applyFont="1" applyFill="1" applyBorder="1" applyAlignment="1">
      <alignment horizontal="center"/>
    </xf>
    <xf numFmtId="0" fontId="28" fillId="0" borderId="1" xfId="5" applyFont="1" applyFill="1" applyBorder="1" applyAlignment="1">
      <alignment vertical="center"/>
    </xf>
    <xf numFmtId="0" fontId="28" fillId="0" borderId="0" xfId="5" applyFont="1" applyFill="1"/>
    <xf numFmtId="0" fontId="21" fillId="0" borderId="1" xfId="5" applyFont="1" applyFill="1" applyBorder="1" applyAlignment="1">
      <alignment vertical="center"/>
    </xf>
    <xf numFmtId="3" fontId="21" fillId="0" borderId="0" xfId="5" applyNumberFormat="1" applyFont="1" applyFill="1" applyBorder="1"/>
    <xf numFmtId="0" fontId="28" fillId="0" borderId="1" xfId="5" applyFont="1" applyFill="1" applyBorder="1"/>
    <xf numFmtId="3" fontId="21" fillId="0" borderId="0" xfId="5" applyNumberFormat="1" applyFont="1" applyFill="1"/>
    <xf numFmtId="0" fontId="9" fillId="0" borderId="1" xfId="1" applyFont="1" applyFill="1" applyBorder="1"/>
    <xf numFmtId="0" fontId="12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/>
    <xf numFmtId="0" fontId="9" fillId="0" borderId="1" xfId="1" applyFont="1" applyFill="1" applyBorder="1" applyAlignment="1">
      <alignment vertical="center"/>
    </xf>
    <xf numFmtId="0" fontId="13" fillId="0" borderId="1" xfId="1" applyFont="1" applyFill="1" applyBorder="1"/>
    <xf numFmtId="3" fontId="28" fillId="0" borderId="0" xfId="5" applyNumberFormat="1" applyFont="1" applyFill="1" applyBorder="1"/>
    <xf numFmtId="165" fontId="9" fillId="0" borderId="0" xfId="1" applyNumberFormat="1" applyFont="1" applyFill="1"/>
    <xf numFmtId="165" fontId="28" fillId="0" borderId="1" xfId="5" applyNumberFormat="1" applyFont="1" applyFill="1" applyBorder="1" applyAlignment="1">
      <alignment horizontal="right" vertical="center"/>
    </xf>
    <xf numFmtId="165" fontId="28" fillId="0" borderId="1" xfId="5" applyNumberFormat="1" applyFont="1" applyFill="1" applyBorder="1" applyAlignment="1">
      <alignment horizontal="right" vertical="center" wrapText="1"/>
    </xf>
    <xf numFmtId="165" fontId="28" fillId="0" borderId="1" xfId="5" applyNumberFormat="1" applyFont="1" applyFill="1" applyBorder="1"/>
    <xf numFmtId="0" fontId="15" fillId="0" borderId="1" xfId="5" applyFont="1" applyFill="1" applyBorder="1" applyAlignment="1">
      <alignment vertical="center" wrapText="1"/>
    </xf>
    <xf numFmtId="3" fontId="28" fillId="0" borderId="1" xfId="5" applyNumberFormat="1" applyFont="1" applyFill="1" applyBorder="1"/>
    <xf numFmtId="0" fontId="28" fillId="0" borderId="1" xfId="5" applyFont="1" applyFill="1" applyBorder="1" applyAlignment="1">
      <alignment horizontal="center"/>
    </xf>
    <xf numFmtId="0" fontId="30" fillId="0" borderId="1" xfId="5" applyFont="1" applyFill="1" applyBorder="1" applyAlignment="1">
      <alignment horizontal="left" vertical="center"/>
    </xf>
    <xf numFmtId="0" fontId="27" fillId="0" borderId="1" xfId="5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vertical="center"/>
    </xf>
    <xf numFmtId="0" fontId="13" fillId="0" borderId="0" xfId="1" applyFont="1" applyFill="1" applyBorder="1"/>
    <xf numFmtId="0" fontId="9" fillId="0" borderId="0" xfId="5" applyFont="1" applyFill="1"/>
    <xf numFmtId="0" fontId="10" fillId="0" borderId="1" xfId="5" applyFont="1" applyFill="1" applyBorder="1" applyAlignment="1">
      <alignment horizontal="center"/>
    </xf>
    <xf numFmtId="0" fontId="12" fillId="0" borderId="1" xfId="5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/>
    </xf>
    <xf numFmtId="0" fontId="20" fillId="0" borderId="1" xfId="5" applyFont="1" applyFill="1" applyBorder="1" applyAlignment="1">
      <alignment horizontal="center" vertical="center" wrapText="1"/>
    </xf>
    <xf numFmtId="0" fontId="22" fillId="0" borderId="1" xfId="5" applyFont="1" applyFill="1" applyBorder="1" applyAlignment="1">
      <alignment vertical="center"/>
    </xf>
    <xf numFmtId="165" fontId="22" fillId="0" borderId="1" xfId="5" applyNumberFormat="1" applyFont="1" applyFill="1" applyBorder="1" applyAlignment="1">
      <alignment vertical="center"/>
    </xf>
    <xf numFmtId="0" fontId="9" fillId="0" borderId="1" xfId="5" applyFont="1" applyFill="1" applyBorder="1"/>
    <xf numFmtId="0" fontId="5" fillId="0" borderId="0" xfId="5" applyFill="1"/>
    <xf numFmtId="3" fontId="5" fillId="0" borderId="0" xfId="5" applyNumberFormat="1" applyFill="1"/>
    <xf numFmtId="0" fontId="10" fillId="0" borderId="1" xfId="5" applyFont="1" applyFill="1" applyBorder="1" applyAlignment="1">
      <alignment horizontal="center" wrapText="1"/>
    </xf>
    <xf numFmtId="0" fontId="5" fillId="0" borderId="1" xfId="5" applyFill="1" applyBorder="1"/>
    <xf numFmtId="0" fontId="5" fillId="0" borderId="0" xfId="5" applyFill="1" applyBorder="1"/>
    <xf numFmtId="0" fontId="13" fillId="0" borderId="1" xfId="5" applyFont="1" applyFill="1" applyBorder="1" applyAlignment="1">
      <alignment horizontal="center"/>
    </xf>
    <xf numFmtId="0" fontId="12" fillId="0" borderId="1" xfId="5" applyFont="1" applyFill="1" applyBorder="1" applyAlignment="1">
      <alignment horizontal="center" wrapText="1"/>
    </xf>
    <xf numFmtId="0" fontId="17" fillId="0" borderId="0" xfId="5" applyFont="1" applyFill="1"/>
    <xf numFmtId="0" fontId="20" fillId="0" borderId="1" xfId="5" applyFont="1" applyFill="1" applyBorder="1" applyAlignment="1">
      <alignment horizontal="center" vertical="center"/>
    </xf>
    <xf numFmtId="0" fontId="10" fillId="0" borderId="0" xfId="5" applyFont="1" applyFill="1" applyAlignment="1">
      <alignment horizontal="center"/>
    </xf>
    <xf numFmtId="0" fontId="7" fillId="0" borderId="1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vertical="center"/>
    </xf>
    <xf numFmtId="0" fontId="24" fillId="0" borderId="0" xfId="5" applyFont="1" applyFill="1"/>
    <xf numFmtId="3" fontId="21" fillId="0" borderId="1" xfId="5" applyNumberFormat="1" applyFont="1" applyFill="1" applyBorder="1"/>
    <xf numFmtId="0" fontId="28" fillId="0" borderId="1" xfId="5" applyFont="1" applyFill="1" applyBorder="1" applyAlignment="1">
      <alignment horizontal="center" vertical="center"/>
    </xf>
    <xf numFmtId="3" fontId="21" fillId="0" borderId="1" xfId="5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/>
    </xf>
    <xf numFmtId="0" fontId="9" fillId="0" borderId="0" xfId="1" applyFont="1" applyFill="1" applyAlignment="1">
      <alignment horizontal="center"/>
    </xf>
    <xf numFmtId="165" fontId="13" fillId="0" borderId="1" xfId="1" applyNumberFormat="1" applyFont="1" applyFill="1" applyBorder="1" applyAlignment="1">
      <alignment horizontal="center" vertical="center" wrapText="1"/>
    </xf>
    <xf numFmtId="3" fontId="9" fillId="0" borderId="0" xfId="5" applyNumberFormat="1" applyFont="1" applyFill="1"/>
    <xf numFmtId="3" fontId="13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/>
    <xf numFmtId="3" fontId="14" fillId="0" borderId="1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13" fillId="0" borderId="1" xfId="1" applyNumberFormat="1" applyFont="1" applyFill="1" applyBorder="1"/>
    <xf numFmtId="1" fontId="9" fillId="0" borderId="1" xfId="1" applyNumberFormat="1" applyFont="1" applyFill="1" applyBorder="1"/>
    <xf numFmtId="3" fontId="9" fillId="0" borderId="1" xfId="1" applyNumberFormat="1" applyFont="1" applyFill="1" applyBorder="1" applyAlignment="1">
      <alignment horizontal="right" vertical="center"/>
    </xf>
    <xf numFmtId="3" fontId="22" fillId="0" borderId="1" xfId="5" applyNumberFormat="1" applyFont="1" applyFill="1" applyBorder="1" applyAlignment="1">
      <alignment vertical="center"/>
    </xf>
    <xf numFmtId="3" fontId="22" fillId="0" borderId="1" xfId="5" applyNumberFormat="1" applyFont="1" applyFill="1" applyBorder="1" applyAlignment="1">
      <alignment horizontal="right" vertical="center"/>
    </xf>
    <xf numFmtId="3" fontId="20" fillId="0" borderId="1" xfId="5" applyNumberFormat="1" applyFont="1" applyFill="1" applyBorder="1" applyAlignment="1">
      <alignment horizontal="right" vertical="center"/>
    </xf>
    <xf numFmtId="3" fontId="9" fillId="0" borderId="1" xfId="5" applyNumberFormat="1" applyFont="1" applyFill="1" applyBorder="1"/>
    <xf numFmtId="3" fontId="14" fillId="0" borderId="1" xfId="5" applyNumberFormat="1" applyFont="1" applyFill="1" applyBorder="1" applyAlignment="1">
      <alignment vertical="center"/>
    </xf>
    <xf numFmtId="3" fontId="14" fillId="0" borderId="1" xfId="5" applyNumberFormat="1" applyFont="1" applyFill="1" applyBorder="1" applyAlignment="1">
      <alignment horizontal="right" vertical="center"/>
    </xf>
    <xf numFmtId="3" fontId="9" fillId="0" borderId="1" xfId="5" applyNumberFormat="1" applyFont="1" applyFill="1" applyBorder="1" applyAlignment="1">
      <alignment vertical="center"/>
    </xf>
    <xf numFmtId="3" fontId="23" fillId="0" borderId="1" xfId="5" applyNumberFormat="1" applyFont="1" applyFill="1" applyBorder="1" applyAlignment="1">
      <alignment vertical="center"/>
    </xf>
    <xf numFmtId="3" fontId="23" fillId="0" borderId="1" xfId="5" applyNumberFormat="1" applyFont="1" applyFill="1" applyBorder="1" applyAlignment="1">
      <alignment horizontal="right" vertical="center"/>
    </xf>
    <xf numFmtId="3" fontId="13" fillId="0" borderId="1" xfId="5" applyNumberFormat="1" applyFont="1" applyFill="1" applyBorder="1" applyAlignment="1">
      <alignment vertical="center"/>
    </xf>
    <xf numFmtId="3" fontId="15" fillId="0" borderId="1" xfId="5" applyNumberFormat="1" applyFont="1" applyFill="1" applyBorder="1" applyAlignment="1">
      <alignment horizontal="right" vertical="center" wrapText="1"/>
    </xf>
    <xf numFmtId="3" fontId="15" fillId="0" borderId="1" xfId="5" applyNumberFormat="1" applyFont="1" applyFill="1" applyBorder="1" applyAlignment="1">
      <alignment vertical="center"/>
    </xf>
    <xf numFmtId="3" fontId="15" fillId="0" borderId="1" xfId="6" applyNumberFormat="1" applyFont="1" applyFill="1" applyBorder="1" applyAlignment="1">
      <alignment vertical="center"/>
    </xf>
    <xf numFmtId="3" fontId="29" fillId="0" borderId="1" xfId="5" applyNumberFormat="1" applyFont="1" applyFill="1" applyBorder="1" applyAlignment="1">
      <alignment vertical="center"/>
    </xf>
    <xf numFmtId="3" fontId="15" fillId="0" borderId="1" xfId="5" applyNumberFormat="1" applyFont="1" applyFill="1" applyBorder="1" applyAlignment="1">
      <alignment horizontal="right" vertical="center"/>
    </xf>
    <xf numFmtId="3" fontId="15" fillId="0" borderId="1" xfId="6" applyNumberFormat="1" applyFont="1" applyFill="1" applyBorder="1" applyAlignment="1">
      <alignment horizontal="right" vertical="center"/>
    </xf>
    <xf numFmtId="3" fontId="21" fillId="0" borderId="1" xfId="5" applyNumberFormat="1" applyFont="1" applyFill="1" applyBorder="1" applyAlignment="1">
      <alignment vertical="center"/>
    </xf>
    <xf numFmtId="3" fontId="13" fillId="0" borderId="1" xfId="5" applyNumberFormat="1" applyFont="1" applyFill="1" applyBorder="1" applyAlignment="1">
      <alignment horizontal="right" vertical="center"/>
    </xf>
    <xf numFmtId="3" fontId="21" fillId="0" borderId="8" xfId="5" applyNumberFormat="1" applyFont="1" applyFill="1" applyBorder="1"/>
    <xf numFmtId="0" fontId="11" fillId="0" borderId="1" xfId="1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28" fillId="0" borderId="1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0" fontId="20" fillId="0" borderId="1" xfId="5" applyFont="1" applyFill="1" applyBorder="1" applyAlignment="1">
      <alignment horizontal="center" wrapText="1"/>
    </xf>
    <xf numFmtId="3" fontId="22" fillId="2" borderId="1" xfId="5" applyNumberFormat="1" applyFont="1" applyFill="1" applyBorder="1" applyAlignment="1">
      <alignment horizontal="right" vertical="center"/>
    </xf>
    <xf numFmtId="0" fontId="9" fillId="0" borderId="1" xfId="5" quotePrefix="1" applyFont="1" applyFill="1" applyBorder="1" applyAlignment="1">
      <alignment horizontal="center"/>
    </xf>
    <xf numFmtId="0" fontId="13" fillId="0" borderId="1" xfId="5" applyFont="1" applyFill="1" applyBorder="1" applyAlignment="1">
      <alignment horizontal="center" vertical="center" wrapText="1"/>
    </xf>
    <xf numFmtId="3" fontId="5" fillId="0" borderId="1" xfId="5" applyNumberFormat="1" applyFill="1" applyBorder="1"/>
    <xf numFmtId="0" fontId="13" fillId="0" borderId="1" xfId="5" applyFont="1" applyFill="1" applyBorder="1" applyAlignment="1">
      <alignment horizontal="center" wrapText="1"/>
    </xf>
    <xf numFmtId="0" fontId="20" fillId="0" borderId="1" xfId="5" applyFont="1" applyFill="1" applyBorder="1" applyAlignment="1">
      <alignment vertical="center"/>
    </xf>
    <xf numFmtId="0" fontId="18" fillId="0" borderId="1" xfId="5" applyFont="1" applyFill="1" applyBorder="1" applyAlignment="1">
      <alignment horizontal="center" wrapText="1"/>
    </xf>
    <xf numFmtId="3" fontId="15" fillId="2" borderId="1" xfId="6" applyNumberFormat="1" applyFont="1" applyFill="1" applyBorder="1" applyAlignment="1">
      <alignment vertical="center"/>
    </xf>
    <xf numFmtId="0" fontId="28" fillId="0" borderId="1" xfId="5" applyFont="1" applyFill="1" applyBorder="1" applyAlignment="1">
      <alignment horizontal="center" wrapText="1"/>
    </xf>
    <xf numFmtId="0" fontId="21" fillId="0" borderId="1" xfId="5" applyFont="1" applyFill="1" applyBorder="1" applyAlignment="1">
      <alignment horizontal="center" wrapText="1"/>
    </xf>
    <xf numFmtId="0" fontId="24" fillId="0" borderId="0" xfId="5" applyFont="1" applyFill="1" applyBorder="1" applyAlignment="1">
      <alignment horizontal="center"/>
    </xf>
    <xf numFmtId="0" fontId="24" fillId="0" borderId="0" xfId="5" applyFont="1" applyFill="1" applyBorder="1"/>
    <xf numFmtId="0" fontId="9" fillId="0" borderId="1" xfId="5" applyFont="1" applyFill="1" applyBorder="1" applyAlignment="1">
      <alignment vertical="center"/>
    </xf>
    <xf numFmtId="3" fontId="15" fillId="2" borderId="1" xfId="5" applyNumberFormat="1" applyFont="1" applyFill="1" applyBorder="1" applyAlignment="1">
      <alignment horizontal="right" vertical="center"/>
    </xf>
    <xf numFmtId="3" fontId="33" fillId="0" borderId="1" xfId="5" applyNumberFormat="1" applyFont="1" applyFill="1" applyBorder="1" applyAlignment="1">
      <alignment vertical="center"/>
    </xf>
    <xf numFmtId="3" fontId="32" fillId="0" borderId="1" xfId="5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/>
    <xf numFmtId="3" fontId="15" fillId="2" borderId="1" xfId="5" applyNumberFormat="1" applyFont="1" applyFill="1" applyBorder="1" applyAlignment="1">
      <alignment horizontal="right" vertical="center" wrapText="1"/>
    </xf>
    <xf numFmtId="3" fontId="15" fillId="2" borderId="1" xfId="5" applyNumberFormat="1" applyFont="1" applyFill="1" applyBorder="1" applyAlignment="1">
      <alignment vertical="center"/>
    </xf>
    <xf numFmtId="0" fontId="22" fillId="0" borderId="1" xfId="5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center" vertical="center" wrapText="1"/>
    </xf>
    <xf numFmtId="3" fontId="23" fillId="0" borderId="1" xfId="5" applyNumberFormat="1" applyFont="1" applyFill="1" applyBorder="1" applyAlignment="1">
      <alignment horizontal="center" vertical="center" wrapText="1"/>
    </xf>
    <xf numFmtId="3" fontId="21" fillId="0" borderId="1" xfId="5" applyNumberFormat="1" applyFont="1" applyFill="1" applyBorder="1" applyAlignment="1">
      <alignment horizontal="center" vertical="center" wrapText="1"/>
    </xf>
    <xf numFmtId="3" fontId="34" fillId="0" borderId="0" xfId="1" applyNumberFormat="1" applyFont="1" applyFill="1"/>
    <xf numFmtId="3" fontId="35" fillId="0" borderId="0" xfId="5" applyNumberFormat="1" applyFont="1" applyFill="1"/>
    <xf numFmtId="165" fontId="34" fillId="0" borderId="0" xfId="1" applyNumberFormat="1" applyFont="1" applyFill="1"/>
    <xf numFmtId="165" fontId="36" fillId="0" borderId="0" xfId="1" applyNumberFormat="1" applyFont="1" applyFill="1"/>
    <xf numFmtId="3" fontId="36" fillId="0" borderId="0" xfId="1" applyNumberFormat="1" applyFont="1" applyFill="1"/>
    <xf numFmtId="165" fontId="13" fillId="0" borderId="1" xfId="1" applyNumberFormat="1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166" fontId="21" fillId="0" borderId="1" xfId="11" applyNumberFormat="1" applyFont="1" applyFill="1" applyBorder="1" applyAlignment="1">
      <alignment horizontal="center" vertical="center" wrapText="1"/>
    </xf>
    <xf numFmtId="3" fontId="28" fillId="0" borderId="0" xfId="5" applyNumberFormat="1" applyFont="1" applyFill="1"/>
    <xf numFmtId="3" fontId="42" fillId="0" borderId="1" xfId="5" applyNumberFormat="1" applyFont="1" applyFill="1" applyBorder="1" applyAlignment="1">
      <alignment horizontal="right" vertical="center"/>
    </xf>
    <xf numFmtId="3" fontId="14" fillId="0" borderId="1" xfId="5" applyNumberFormat="1" applyFont="1" applyFill="1" applyBorder="1"/>
    <xf numFmtId="3" fontId="28" fillId="0" borderId="1" xfId="5" applyNumberFormat="1" applyFont="1" applyFill="1" applyBorder="1" applyAlignment="1">
      <alignment horizontal="center" vertical="center" wrapText="1"/>
    </xf>
    <xf numFmtId="166" fontId="28" fillId="0" borderId="1" xfId="5" applyNumberFormat="1" applyFont="1" applyFill="1" applyBorder="1" applyAlignment="1">
      <alignment horizontal="center" vertical="center" wrapText="1"/>
    </xf>
    <xf numFmtId="3" fontId="29" fillId="0" borderId="1" xfId="5" applyNumberFormat="1" applyFont="1" applyFill="1" applyBorder="1" applyAlignment="1">
      <alignment horizontal="right" vertical="center" wrapText="1"/>
    </xf>
    <xf numFmtId="3" fontId="43" fillId="0" borderId="0" xfId="1" applyNumberFormat="1" applyFont="1" applyFill="1" applyBorder="1" applyAlignment="1">
      <alignment horizontal="right" vertical="center" wrapText="1"/>
    </xf>
    <xf numFmtId="3" fontId="21" fillId="2" borderId="0" xfId="5" applyNumberFormat="1" applyFont="1" applyFill="1"/>
    <xf numFmtId="0" fontId="21" fillId="2" borderId="1" xfId="5" applyFont="1" applyFill="1" applyBorder="1" applyAlignment="1">
      <alignment horizontal="center"/>
    </xf>
    <xf numFmtId="0" fontId="30" fillId="2" borderId="1" xfId="5" applyFont="1" applyFill="1" applyBorder="1" applyAlignment="1">
      <alignment horizontal="center" vertical="center"/>
    </xf>
    <xf numFmtId="3" fontId="21" fillId="2" borderId="1" xfId="5" applyNumberFormat="1" applyFont="1" applyFill="1" applyBorder="1" applyAlignment="1">
      <alignment horizontal="right" vertical="center"/>
    </xf>
    <xf numFmtId="0" fontId="21" fillId="2" borderId="0" xfId="5" applyFont="1" applyFill="1"/>
    <xf numFmtId="0" fontId="44" fillId="0" borderId="0" xfId="12"/>
    <xf numFmtId="3" fontId="44" fillId="0" borderId="0" xfId="12" applyNumberFormat="1"/>
    <xf numFmtId="0" fontId="45" fillId="0" borderId="1" xfId="12" applyFont="1" applyBorder="1"/>
    <xf numFmtId="49" fontId="8" fillId="0" borderId="1" xfId="12" applyNumberFormat="1" applyFont="1" applyBorder="1" applyAlignment="1">
      <alignment horizontal="center"/>
    </xf>
    <xf numFmtId="3" fontId="8" fillId="0" borderId="5" xfId="12" applyNumberFormat="1" applyFont="1" applyBorder="1"/>
    <xf numFmtId="0" fontId="8" fillId="0" borderId="5" xfId="12" applyFont="1" applyBorder="1" applyAlignment="1">
      <alignment wrapText="1"/>
    </xf>
    <xf numFmtId="49" fontId="8" fillId="0" borderId="4" xfId="12" applyNumberFormat="1" applyFont="1" applyBorder="1" applyAlignment="1">
      <alignment horizontal="center"/>
    </xf>
    <xf numFmtId="3" fontId="8" fillId="0" borderId="9" xfId="12" applyNumberFormat="1" applyFont="1" applyBorder="1"/>
    <xf numFmtId="0" fontId="8" fillId="0" borderId="9" xfId="12" applyFont="1" applyBorder="1" applyAlignment="1">
      <alignment wrapText="1"/>
    </xf>
    <xf numFmtId="49" fontId="8" fillId="0" borderId="18" xfId="12" applyNumberFormat="1" applyFont="1" applyBorder="1" applyAlignment="1">
      <alignment horizontal="center"/>
    </xf>
    <xf numFmtId="0" fontId="14" fillId="0" borderId="0" xfId="12" applyFont="1"/>
    <xf numFmtId="165" fontId="14" fillId="0" borderId="0" xfId="12" applyNumberFormat="1" applyFont="1"/>
    <xf numFmtId="165" fontId="8" fillId="0" borderId="0" xfId="12" applyNumberFormat="1" applyFont="1" applyAlignment="1">
      <alignment horizontal="right"/>
    </xf>
    <xf numFmtId="0" fontId="8" fillId="0" borderId="0" xfId="12" applyFont="1"/>
    <xf numFmtId="49" fontId="8" fillId="0" borderId="0" xfId="12" applyNumberFormat="1" applyFont="1" applyAlignment="1">
      <alignment horizontal="left"/>
    </xf>
    <xf numFmtId="165" fontId="14" fillId="0" borderId="0" xfId="12" applyNumberFormat="1" applyFont="1" applyAlignment="1">
      <alignment horizontal="center" vertical="center"/>
    </xf>
    <xf numFmtId="49" fontId="14" fillId="0" borderId="0" xfId="12" applyNumberFormat="1" applyFont="1" applyAlignment="1">
      <alignment horizontal="center"/>
    </xf>
    <xf numFmtId="3" fontId="8" fillId="0" borderId="6" xfId="12" applyNumberFormat="1" applyFont="1" applyBorder="1"/>
    <xf numFmtId="0" fontId="8" fillId="0" borderId="6" xfId="12" applyFont="1" applyBorder="1"/>
    <xf numFmtId="49" fontId="8" fillId="0" borderId="6" xfId="12" applyNumberFormat="1" applyFont="1" applyBorder="1" applyAlignment="1">
      <alignment horizontal="center"/>
    </xf>
    <xf numFmtId="0" fontId="8" fillId="0" borderId="5" xfId="12" applyFont="1" applyBorder="1"/>
    <xf numFmtId="0" fontId="14" fillId="0" borderId="1" xfId="12" applyFont="1" applyBorder="1"/>
    <xf numFmtId="3" fontId="14" fillId="0" borderId="1" xfId="12" applyNumberFormat="1" applyFont="1" applyBorder="1"/>
    <xf numFmtId="3" fontId="8" fillId="0" borderId="1" xfId="12" applyNumberFormat="1" applyFont="1" applyBorder="1"/>
    <xf numFmtId="0" fontId="8" fillId="0" borderId="1" xfId="12" applyFont="1" applyBorder="1"/>
    <xf numFmtId="3" fontId="14" fillId="0" borderId="3" xfId="12" applyNumberFormat="1" applyFont="1" applyBorder="1"/>
    <xf numFmtId="0" fontId="14" fillId="0" borderId="3" xfId="12" applyFont="1" applyBorder="1"/>
    <xf numFmtId="0" fontId="8" fillId="0" borderId="6" xfId="12" applyFont="1" applyBorder="1" applyAlignment="1">
      <alignment horizontal="center"/>
    </xf>
    <xf numFmtId="165" fontId="8" fillId="0" borderId="6" xfId="12" applyNumberFormat="1" applyFont="1" applyBorder="1" applyAlignment="1">
      <alignment horizontal="center" vertical="center" wrapText="1"/>
    </xf>
    <xf numFmtId="0" fontId="8" fillId="0" borderId="6" xfId="12" applyFont="1" applyBorder="1" applyAlignment="1">
      <alignment horizontal="center" vertical="center"/>
    </xf>
    <xf numFmtId="49" fontId="8" fillId="0" borderId="6" xfId="12" applyNumberFormat="1" applyFont="1" applyBorder="1" applyAlignment="1">
      <alignment horizontal="center" vertical="center" wrapText="1"/>
    </xf>
    <xf numFmtId="165" fontId="14" fillId="0" borderId="6" xfId="12" applyNumberFormat="1" applyFont="1" applyBorder="1" applyAlignment="1">
      <alignment horizontal="center"/>
    </xf>
    <xf numFmtId="165" fontId="8" fillId="0" borderId="6" xfId="12" applyNumberFormat="1" applyFont="1" applyBorder="1" applyAlignment="1">
      <alignment horizontal="center"/>
    </xf>
    <xf numFmtId="3" fontId="8" fillId="0" borderId="0" xfId="12" applyNumberFormat="1" applyFont="1" applyBorder="1"/>
    <xf numFmtId="0" fontId="8" fillId="0" borderId="0" xfId="12" applyFont="1" applyBorder="1" applyAlignment="1">
      <alignment wrapText="1"/>
    </xf>
    <xf numFmtId="49" fontId="8" fillId="0" borderId="0" xfId="12" applyNumberFormat="1" applyFont="1" applyBorder="1" applyAlignment="1">
      <alignment horizontal="center"/>
    </xf>
    <xf numFmtId="0" fontId="8" fillId="0" borderId="1" xfId="12" applyFont="1" applyBorder="1" applyAlignment="1">
      <alignment wrapText="1"/>
    </xf>
    <xf numFmtId="0" fontId="14" fillId="0" borderId="1" xfId="12" applyFont="1" applyBorder="1" applyAlignment="1">
      <alignment wrapText="1"/>
    </xf>
    <xf numFmtId="165" fontId="8" fillId="0" borderId="1" xfId="12" applyNumberFormat="1" applyFont="1" applyBorder="1" applyAlignment="1">
      <alignment horizontal="center" vertical="center" wrapText="1"/>
    </xf>
    <xf numFmtId="0" fontId="8" fillId="0" borderId="1" xfId="12" applyFont="1" applyBorder="1" applyAlignment="1">
      <alignment horizontal="center" vertical="center"/>
    </xf>
    <xf numFmtId="49" fontId="8" fillId="0" borderId="1" xfId="12" applyNumberFormat="1" applyFont="1" applyBorder="1" applyAlignment="1">
      <alignment horizontal="center" vertical="center" wrapText="1"/>
    </xf>
    <xf numFmtId="165" fontId="8" fillId="0" borderId="1" xfId="12" applyNumberFormat="1" applyFont="1" applyBorder="1" applyAlignment="1">
      <alignment horizontal="center" vertical="center"/>
    </xf>
    <xf numFmtId="3" fontId="8" fillId="0" borderId="1" xfId="12" applyNumberFormat="1" applyFont="1" applyBorder="1" applyAlignment="1">
      <alignment horizontal="center" vertical="center"/>
    </xf>
    <xf numFmtId="49" fontId="8" fillId="0" borderId="1" xfId="12" applyNumberFormat="1" applyFont="1" applyBorder="1" applyAlignment="1">
      <alignment horizontal="center" vertical="center"/>
    </xf>
    <xf numFmtId="0" fontId="48" fillId="0" borderId="0" xfId="12" applyFont="1" applyAlignment="1">
      <alignment horizontal="center"/>
    </xf>
    <xf numFmtId="0" fontId="49" fillId="0" borderId="0" xfId="12" applyFont="1"/>
    <xf numFmtId="0" fontId="15" fillId="2" borderId="0" xfId="10" applyFont="1" applyFill="1" applyBorder="1" applyAlignment="1">
      <alignment wrapText="1"/>
    </xf>
    <xf numFmtId="0" fontId="15" fillId="2" borderId="0" xfId="10" applyFont="1" applyFill="1" applyBorder="1" applyAlignment="1"/>
    <xf numFmtId="0" fontId="50" fillId="0" borderId="0" xfId="10" applyFont="1"/>
    <xf numFmtId="0" fontId="50" fillId="2" borderId="23" xfId="10" applyFont="1" applyFill="1" applyBorder="1" applyAlignment="1"/>
    <xf numFmtId="0" fontId="50" fillId="2" borderId="0" xfId="10" applyFont="1" applyFill="1" applyBorder="1" applyAlignment="1"/>
    <xf numFmtId="0" fontId="50" fillId="2" borderId="0" xfId="10" applyFont="1" applyFill="1"/>
    <xf numFmtId="0" fontId="15" fillId="2" borderId="25" xfId="10" applyFont="1" applyFill="1" applyBorder="1" applyAlignment="1">
      <alignment wrapText="1"/>
    </xf>
    <xf numFmtId="0" fontId="50" fillId="2" borderId="26" xfId="10" applyFont="1" applyFill="1" applyBorder="1" applyAlignment="1"/>
    <xf numFmtId="0" fontId="50" fillId="2" borderId="27" xfId="10" applyFont="1" applyFill="1" applyBorder="1" applyAlignment="1"/>
    <xf numFmtId="0" fontId="50" fillId="2" borderId="28" xfId="10" applyFont="1" applyFill="1" applyBorder="1" applyAlignment="1"/>
    <xf numFmtId="0" fontId="51" fillId="2" borderId="27" xfId="10" applyFont="1" applyFill="1" applyBorder="1" applyAlignment="1">
      <alignment wrapText="1"/>
    </xf>
    <xf numFmtId="0" fontId="51" fillId="2" borderId="0" xfId="10" applyFont="1" applyFill="1" applyBorder="1" applyAlignment="1">
      <alignment wrapText="1"/>
    </xf>
    <xf numFmtId="0" fontId="15" fillId="2" borderId="29" xfId="10" applyFont="1" applyFill="1" applyBorder="1" applyAlignment="1"/>
    <xf numFmtId="0" fontId="29" fillId="0" borderId="18" xfId="14" applyFont="1" applyFill="1" applyBorder="1" applyAlignment="1">
      <alignment horizontal="center"/>
    </xf>
    <xf numFmtId="3" fontId="29" fillId="0" borderId="9" xfId="15" applyNumberFormat="1" applyFont="1" applyFill="1" applyBorder="1" applyAlignment="1">
      <alignment horizontal="center"/>
    </xf>
    <xf numFmtId="0" fontId="29" fillId="0" borderId="19" xfId="10" applyFont="1" applyFill="1" applyBorder="1" applyAlignment="1">
      <alignment horizontal="center"/>
    </xf>
    <xf numFmtId="0" fontId="31" fillId="0" borderId="0" xfId="10" applyFont="1" applyFill="1" applyAlignment="1">
      <alignment horizontal="right"/>
    </xf>
    <xf numFmtId="0" fontId="31" fillId="0" borderId="0" xfId="10" applyFont="1"/>
    <xf numFmtId="0" fontId="15" fillId="0" borderId="1" xfId="10" applyFont="1" applyFill="1" applyBorder="1" applyAlignment="1">
      <alignment horizontal="left" wrapText="1"/>
    </xf>
    <xf numFmtId="0" fontId="53" fillId="0" borderId="0" xfId="10" applyFont="1" applyBorder="1" applyAlignment="1">
      <alignment horizontal="left"/>
    </xf>
    <xf numFmtId="3" fontId="53" fillId="0" borderId="0" xfId="10" applyNumberFormat="1" applyFont="1"/>
    <xf numFmtId="3" fontId="15" fillId="0" borderId="1" xfId="10" applyNumberFormat="1" applyFont="1" applyBorder="1"/>
    <xf numFmtId="0" fontId="21" fillId="0" borderId="1" xfId="10" applyFont="1" applyFill="1" applyBorder="1" applyAlignment="1" applyProtection="1">
      <alignment horizontal="left" vertical="center" wrapText="1"/>
      <protection locked="0"/>
    </xf>
    <xf numFmtId="0" fontId="14" fillId="0" borderId="1" xfId="10" applyFont="1" applyFill="1" applyBorder="1" applyAlignment="1">
      <alignment vertical="center" wrapText="1"/>
    </xf>
    <xf numFmtId="3" fontId="15" fillId="0" borderId="15" xfId="10" applyNumberFormat="1" applyFont="1" applyBorder="1"/>
    <xf numFmtId="3" fontId="29" fillId="0" borderId="1" xfId="10" applyNumberFormat="1" applyFont="1" applyFill="1" applyBorder="1"/>
    <xf numFmtId="3" fontId="29" fillId="0" borderId="15" xfId="10" applyNumberFormat="1" applyFont="1" applyFill="1" applyBorder="1"/>
    <xf numFmtId="3" fontId="15" fillId="0" borderId="0" xfId="15" applyNumberFormat="1" applyFont="1" applyFill="1" applyAlignment="1">
      <alignment horizontal="right"/>
    </xf>
    <xf numFmtId="3" fontId="53" fillId="0" borderId="0" xfId="10" applyNumberFormat="1" applyFont="1" applyBorder="1" applyAlignment="1">
      <alignment horizontal="left"/>
    </xf>
    <xf numFmtId="3" fontId="15" fillId="0" borderId="1" xfId="10" applyNumberFormat="1" applyFont="1" applyFill="1" applyBorder="1"/>
    <xf numFmtId="3" fontId="15" fillId="0" borderId="15" xfId="10" applyNumberFormat="1" applyFont="1" applyFill="1" applyBorder="1"/>
    <xf numFmtId="3" fontId="29" fillId="0" borderId="20" xfId="10" applyNumberFormat="1" applyFont="1" applyFill="1" applyBorder="1"/>
    <xf numFmtId="3" fontId="29" fillId="0" borderId="21" xfId="10" applyNumberFormat="1" applyFont="1" applyFill="1" applyBorder="1"/>
    <xf numFmtId="0" fontId="15" fillId="0" borderId="0" xfId="14" applyFont="1" applyFill="1"/>
    <xf numFmtId="0" fontId="29" fillId="0" borderId="0" xfId="10" applyFont="1" applyFill="1" applyAlignment="1">
      <alignment horizontal="left" wrapText="1"/>
    </xf>
    <xf numFmtId="3" fontId="31" fillId="0" borderId="0" xfId="10" applyNumberFormat="1" applyFont="1" applyFill="1" applyAlignment="1">
      <alignment horizontal="right"/>
    </xf>
    <xf numFmtId="0" fontId="15" fillId="0" borderId="0" xfId="10" applyFont="1" applyFill="1"/>
    <xf numFmtId="0" fontId="15" fillId="0" borderId="0" xfId="10" applyFont="1" applyFill="1" applyAlignment="1">
      <alignment wrapText="1"/>
    </xf>
    <xf numFmtId="3" fontId="15" fillId="0" borderId="0" xfId="10" applyNumberFormat="1" applyFont="1" applyFill="1"/>
    <xf numFmtId="0" fontId="29" fillId="0" borderId="0" xfId="10" applyFont="1" applyFill="1" applyAlignment="1">
      <alignment wrapText="1"/>
    </xf>
    <xf numFmtId="3" fontId="29" fillId="0" borderId="0" xfId="10" applyNumberFormat="1" applyFont="1" applyFill="1"/>
    <xf numFmtId="0" fontId="15" fillId="0" borderId="0" xfId="10" applyFont="1"/>
    <xf numFmtId="0" fontId="15" fillId="0" borderId="0" xfId="10" applyFont="1" applyAlignment="1">
      <alignment wrapText="1"/>
    </xf>
    <xf numFmtId="3" fontId="15" fillId="0" borderId="0" xfId="10" applyNumberFormat="1" applyFont="1"/>
    <xf numFmtId="3" fontId="15" fillId="0" borderId="0" xfId="15" applyNumberFormat="1" applyFont="1" applyAlignment="1">
      <alignment horizontal="right"/>
    </xf>
    <xf numFmtId="0" fontId="29" fillId="0" borderId="0" xfId="14" applyFont="1" applyAlignment="1">
      <alignment wrapText="1"/>
    </xf>
    <xf numFmtId="3" fontId="29" fillId="0" borderId="0" xfId="10" applyNumberFormat="1" applyFont="1"/>
    <xf numFmtId="0" fontId="15" fillId="0" borderId="0" xfId="14" applyFont="1"/>
    <xf numFmtId="0" fontId="29" fillId="0" borderId="0" xfId="10" applyFont="1" applyAlignment="1">
      <alignment horizontal="left" wrapText="1"/>
    </xf>
    <xf numFmtId="0" fontId="29" fillId="0" borderId="0" xfId="10" applyFont="1" applyAlignment="1">
      <alignment horizontal="right"/>
    </xf>
    <xf numFmtId="0" fontId="54" fillId="0" borderId="0" xfId="14" applyFont="1" applyAlignment="1">
      <alignment wrapText="1"/>
    </xf>
    <xf numFmtId="3" fontId="29" fillId="0" borderId="0" xfId="10" applyNumberFormat="1" applyFont="1" applyAlignment="1">
      <alignment horizontal="right"/>
    </xf>
    <xf numFmtId="3" fontId="29" fillId="0" borderId="0" xfId="15" applyNumberFormat="1" applyFont="1" applyAlignment="1">
      <alignment horizontal="right"/>
    </xf>
    <xf numFmtId="3" fontId="15" fillId="0" borderId="0" xfId="10" applyNumberFormat="1" applyFont="1" applyAlignment="1">
      <alignment horizontal="right"/>
    </xf>
    <xf numFmtId="0" fontId="54" fillId="0" borderId="0" xfId="10" applyFont="1" applyAlignment="1">
      <alignment wrapText="1"/>
    </xf>
    <xf numFmtId="0" fontId="29" fillId="0" borderId="0" xfId="10" applyFont="1" applyAlignment="1">
      <alignment wrapText="1"/>
    </xf>
    <xf numFmtId="3" fontId="29" fillId="0" borderId="0" xfId="14" applyNumberFormat="1" applyFont="1"/>
    <xf numFmtId="0" fontId="31" fillId="0" borderId="0" xfId="10" applyFont="1" applyAlignment="1">
      <alignment horizontal="right"/>
    </xf>
    <xf numFmtId="0" fontId="15" fillId="0" borderId="0" xfId="14" applyFont="1" applyAlignment="1">
      <alignment wrapText="1"/>
    </xf>
    <xf numFmtId="0" fontId="55" fillId="0" borderId="0" xfId="14" applyFont="1" applyAlignment="1">
      <alignment wrapText="1"/>
    </xf>
    <xf numFmtId="0" fontId="29" fillId="0" borderId="0" xfId="14" applyFont="1"/>
    <xf numFmtId="0" fontId="15" fillId="0" borderId="0" xfId="14" applyFont="1" applyAlignment="1">
      <alignment horizontal="right"/>
    </xf>
    <xf numFmtId="3" fontId="15" fillId="0" borderId="0" xfId="14" applyNumberFormat="1" applyFont="1"/>
    <xf numFmtId="0" fontId="15" fillId="0" borderId="0" xfId="10" applyFont="1" applyAlignment="1">
      <alignment horizontal="right"/>
    </xf>
    <xf numFmtId="167" fontId="56" fillId="0" borderId="0" xfId="10" applyNumberFormat="1" applyFont="1"/>
    <xf numFmtId="37" fontId="15" fillId="0" borderId="0" xfId="10" applyNumberFormat="1" applyFont="1" applyAlignment="1">
      <alignment wrapText="1"/>
    </xf>
    <xf numFmtId="167" fontId="15" fillId="0" borderId="0" xfId="10" applyNumberFormat="1" applyFont="1"/>
    <xf numFmtId="167" fontId="29" fillId="0" borderId="0" xfId="10" applyNumberFormat="1" applyFont="1"/>
    <xf numFmtId="167" fontId="57" fillId="0" borderId="0" xfId="10" applyNumberFormat="1" applyFont="1"/>
    <xf numFmtId="37" fontId="15" fillId="0" borderId="0" xfId="10" applyNumberFormat="1" applyFont="1" applyAlignment="1">
      <alignment horizontal="right"/>
    </xf>
    <xf numFmtId="37" fontId="29" fillId="0" borderId="0" xfId="10" applyNumberFormat="1" applyFont="1" applyAlignment="1">
      <alignment wrapText="1"/>
    </xf>
    <xf numFmtId="37" fontId="15" fillId="0" borderId="0" xfId="10" applyNumberFormat="1" applyFont="1"/>
    <xf numFmtId="0" fontId="58" fillId="0" borderId="0" xfId="10" applyFont="1"/>
    <xf numFmtId="0" fontId="59" fillId="0" borderId="0" xfId="10" applyFont="1" applyAlignment="1">
      <alignment wrapText="1"/>
    </xf>
    <xf numFmtId="167" fontId="59" fillId="0" borderId="0" xfId="10" applyNumberFormat="1" applyFont="1"/>
    <xf numFmtId="167" fontId="58" fillId="0" borderId="0" xfId="10" applyNumberFormat="1" applyFont="1"/>
    <xf numFmtId="167" fontId="60" fillId="0" borderId="0" xfId="10" applyNumberFormat="1" applyFont="1"/>
    <xf numFmtId="167" fontId="15" fillId="0" borderId="0" xfId="10" applyNumberFormat="1" applyFont="1" applyAlignment="1">
      <alignment horizontal="right"/>
    </xf>
    <xf numFmtId="0" fontId="31" fillId="0" borderId="0" xfId="10" applyFont="1" applyAlignment="1">
      <alignment wrapText="1"/>
    </xf>
    <xf numFmtId="167" fontId="31" fillId="0" borderId="0" xfId="10" applyNumberFormat="1" applyFont="1"/>
    <xf numFmtId="0" fontId="63" fillId="0" borderId="1" xfId="10" applyFont="1" applyFill="1" applyBorder="1" applyAlignment="1">
      <alignment vertical="center" wrapText="1"/>
    </xf>
    <xf numFmtId="3" fontId="61" fillId="0" borderId="1" xfId="10" applyNumberFormat="1" applyFont="1" applyFill="1" applyBorder="1" applyAlignment="1">
      <alignment vertical="center"/>
    </xf>
    <xf numFmtId="0" fontId="30" fillId="0" borderId="1" xfId="10" applyFont="1" applyFill="1" applyBorder="1" applyAlignment="1">
      <alignment vertical="center" wrapText="1"/>
    </xf>
    <xf numFmtId="3" fontId="30" fillId="0" borderId="1" xfId="10" applyNumberFormat="1" applyFont="1" applyFill="1" applyBorder="1" applyAlignment="1">
      <alignment horizontal="right" vertical="center"/>
    </xf>
    <xf numFmtId="3" fontId="31" fillId="0" borderId="0" xfId="10" applyNumberFormat="1" applyFont="1"/>
    <xf numFmtId="0" fontId="30" fillId="0" borderId="0" xfId="10" applyFont="1" applyFill="1" applyAlignment="1">
      <alignment horizontal="center"/>
    </xf>
    <xf numFmtId="0" fontId="27" fillId="0" borderId="0" xfId="10" applyFont="1" applyFill="1"/>
    <xf numFmtId="168" fontId="31" fillId="0" borderId="0" xfId="10" applyNumberFormat="1" applyFont="1" applyFill="1"/>
    <xf numFmtId="0" fontId="57" fillId="0" borderId="0" xfId="10" applyFont="1" applyFill="1" applyAlignment="1">
      <alignment horizontal="center"/>
    </xf>
    <xf numFmtId="0" fontId="56" fillId="0" borderId="0" xfId="10" applyFont="1" applyFill="1"/>
    <xf numFmtId="0" fontId="57" fillId="0" borderId="0" xfId="10" applyFont="1" applyAlignment="1">
      <alignment horizontal="center"/>
    </xf>
    <xf numFmtId="0" fontId="57" fillId="0" borderId="0" xfId="10" applyFont="1"/>
    <xf numFmtId="0" fontId="64" fillId="0" borderId="0" xfId="10" applyFont="1" applyAlignment="1">
      <alignment horizontal="center"/>
    </xf>
    <xf numFmtId="0" fontId="65" fillId="0" borderId="0" xfId="10" applyFont="1" applyAlignment="1"/>
    <xf numFmtId="0" fontId="31" fillId="0" borderId="0" xfId="10" applyFont="1" applyAlignment="1"/>
    <xf numFmtId="168" fontId="31" fillId="0" borderId="0" xfId="10" applyNumberFormat="1" applyFont="1"/>
    <xf numFmtId="0" fontId="56" fillId="0" borderId="0" xfId="10" applyFont="1"/>
    <xf numFmtId="0" fontId="52" fillId="0" borderId="0" xfId="10" applyFont="1" applyAlignment="1">
      <alignment horizontal="center"/>
    </xf>
    <xf numFmtId="0" fontId="31" fillId="0" borderId="0" xfId="10" applyFont="1" applyAlignment="1">
      <alignment horizontal="center"/>
    </xf>
    <xf numFmtId="167" fontId="29" fillId="0" borderId="2" xfId="16" applyNumberFormat="1" applyFont="1" applyBorder="1" applyAlignment="1">
      <alignment horizontal="right"/>
    </xf>
    <xf numFmtId="167" fontId="29" fillId="0" borderId="1" xfId="16" applyNumberFormat="1" applyFont="1" applyFill="1" applyBorder="1" applyAlignment="1">
      <alignment horizontal="left" wrapText="1"/>
    </xf>
    <xf numFmtId="3" fontId="15" fillId="0" borderId="1" xfId="16" applyNumberFormat="1" applyFont="1" applyFill="1" applyBorder="1" applyAlignment="1">
      <alignment horizontal="centerContinuous"/>
    </xf>
    <xf numFmtId="0" fontId="15" fillId="0" borderId="15" xfId="10" applyFont="1" applyBorder="1"/>
    <xf numFmtId="3" fontId="29" fillId="0" borderId="15" xfId="10" applyNumberFormat="1" applyFont="1" applyBorder="1"/>
    <xf numFmtId="3" fontId="53" fillId="0" borderId="0" xfId="10" applyNumberFormat="1" applyFont="1" applyBorder="1"/>
    <xf numFmtId="0" fontId="15" fillId="0" borderId="1" xfId="10" applyFont="1" applyFill="1" applyBorder="1" applyAlignment="1">
      <alignment horizontal="left"/>
    </xf>
    <xf numFmtId="3" fontId="15" fillId="0" borderId="0" xfId="10" applyNumberFormat="1" applyFont="1" applyFill="1" applyBorder="1"/>
    <xf numFmtId="0" fontId="15" fillId="0" borderId="0" xfId="10" applyFont="1" applyBorder="1" applyAlignment="1">
      <alignment horizontal="left"/>
    </xf>
    <xf numFmtId="3" fontId="15" fillId="0" borderId="0" xfId="10" applyNumberFormat="1" applyFont="1" applyBorder="1"/>
    <xf numFmtId="0" fontId="31" fillId="0" borderId="1" xfId="10" applyFont="1" applyBorder="1"/>
    <xf numFmtId="3" fontId="15" fillId="0" borderId="1" xfId="10" applyNumberFormat="1" applyFont="1" applyFill="1" applyBorder="1" applyAlignment="1">
      <alignment wrapText="1"/>
    </xf>
    <xf numFmtId="0" fontId="66" fillId="0" borderId="0" xfId="10" applyFont="1"/>
    <xf numFmtId="3" fontId="66" fillId="0" borderId="0" xfId="10" applyNumberFormat="1" applyFont="1"/>
    <xf numFmtId="3" fontId="15" fillId="0" borderId="22" xfId="10" applyNumberFormat="1" applyFont="1" applyBorder="1"/>
    <xf numFmtId="0" fontId="15" fillId="0" borderId="0" xfId="10" applyFont="1" applyFill="1" applyBorder="1" applyAlignment="1">
      <alignment horizontal="left"/>
    </xf>
    <xf numFmtId="0" fontId="31" fillId="0" borderId="0" xfId="10" applyFont="1" applyFill="1"/>
    <xf numFmtId="0" fontId="29" fillId="0" borderId="0" xfId="10" applyFont="1" applyFill="1"/>
    <xf numFmtId="0" fontId="67" fillId="0" borderId="0" xfId="10" applyFont="1"/>
    <xf numFmtId="0" fontId="67" fillId="0" borderId="0" xfId="10" applyFont="1" applyFill="1"/>
    <xf numFmtId="0" fontId="15" fillId="0" borderId="0" xfId="16" applyFont="1"/>
    <xf numFmtId="0" fontId="29" fillId="0" borderId="0" xfId="16" applyFont="1" applyFill="1"/>
    <xf numFmtId="0" fontId="15" fillId="0" borderId="0" xfId="16" applyFont="1" applyFill="1"/>
    <xf numFmtId="167" fontId="57" fillId="0" borderId="0" xfId="10" applyNumberFormat="1" applyFont="1" applyFill="1"/>
    <xf numFmtId="0" fontId="57" fillId="0" borderId="0" xfId="10" applyFont="1" applyFill="1"/>
    <xf numFmtId="0" fontId="15" fillId="0" borderId="0" xfId="10" applyFont="1" applyFill="1" applyBorder="1" applyAlignment="1">
      <alignment wrapText="1"/>
    </xf>
    <xf numFmtId="0" fontId="15" fillId="0" borderId="0" xfId="10" applyFont="1" applyFill="1" applyBorder="1" applyAlignment="1"/>
    <xf numFmtId="0" fontId="50" fillId="0" borderId="0" xfId="10" applyFont="1" applyFill="1"/>
    <xf numFmtId="0" fontId="50" fillId="0" borderId="0" xfId="10" applyFont="1" applyFill="1" applyBorder="1" applyAlignment="1"/>
    <xf numFmtId="0" fontId="15" fillId="0" borderId="25" xfId="10" applyFont="1" applyFill="1" applyBorder="1" applyAlignment="1">
      <alignment wrapText="1"/>
    </xf>
    <xf numFmtId="0" fontId="50" fillId="0" borderId="27" xfId="10" applyFont="1" applyFill="1" applyBorder="1" applyAlignment="1"/>
    <xf numFmtId="0" fontId="50" fillId="0" borderId="28" xfId="10" applyFont="1" applyFill="1" applyBorder="1" applyAlignment="1"/>
    <xf numFmtId="0" fontId="51" fillId="0" borderId="27" xfId="10" applyFont="1" applyFill="1" applyBorder="1" applyAlignment="1">
      <alignment wrapText="1"/>
    </xf>
    <xf numFmtId="0" fontId="51" fillId="0" borderId="0" xfId="10" applyFont="1" applyFill="1" applyBorder="1" applyAlignment="1">
      <alignment wrapText="1"/>
    </xf>
    <xf numFmtId="0" fontId="15" fillId="0" borderId="29" xfId="10" applyFont="1" applyFill="1" applyBorder="1" applyAlignment="1"/>
    <xf numFmtId="0" fontId="69" fillId="0" borderId="0" xfId="10" applyFont="1" applyFill="1" applyBorder="1"/>
    <xf numFmtId="0" fontId="69" fillId="0" borderId="0" xfId="10" applyFont="1" applyFill="1"/>
    <xf numFmtId="0" fontId="69" fillId="0" borderId="0" xfId="10" applyFont="1"/>
    <xf numFmtId="0" fontId="50" fillId="0" borderId="2" xfId="10" applyFont="1" applyFill="1" applyBorder="1" applyAlignment="1">
      <alignment horizontal="center"/>
    </xf>
    <xf numFmtId="0" fontId="50" fillId="0" borderId="1" xfId="10" applyFont="1" applyFill="1" applyBorder="1" applyAlignment="1">
      <alignment horizontal="left" wrapText="1"/>
    </xf>
    <xf numFmtId="3" fontId="50" fillId="0" borderId="1" xfId="10" applyNumberFormat="1" applyFont="1" applyFill="1" applyBorder="1"/>
    <xf numFmtId="3" fontId="50" fillId="0" borderId="15" xfId="10" applyNumberFormat="1" applyFont="1" applyFill="1" applyBorder="1"/>
    <xf numFmtId="0" fontId="50" fillId="0" borderId="1" xfId="10" applyFont="1" applyFill="1" applyBorder="1" applyAlignment="1">
      <alignment wrapText="1"/>
    </xf>
    <xf numFmtId="0" fontId="68" fillId="0" borderId="1" xfId="10" applyFont="1" applyFill="1" applyBorder="1" applyAlignment="1">
      <alignment wrapText="1"/>
    </xf>
    <xf numFmtId="3" fontId="68" fillId="0" borderId="1" xfId="10" applyNumberFormat="1" applyFont="1" applyFill="1" applyBorder="1"/>
    <xf numFmtId="3" fontId="68" fillId="0" borderId="15" xfId="10" applyNumberFormat="1" applyFont="1" applyFill="1" applyBorder="1"/>
    <xf numFmtId="0" fontId="50" fillId="2" borderId="1" xfId="10" applyFont="1" applyFill="1" applyBorder="1" applyAlignment="1">
      <alignment horizontal="left" wrapText="1"/>
    </xf>
    <xf numFmtId="0" fontId="68" fillId="0" borderId="20" xfId="10" applyFont="1" applyFill="1" applyBorder="1" applyAlignment="1">
      <alignment wrapText="1"/>
    </xf>
    <xf numFmtId="3" fontId="68" fillId="0" borderId="20" xfId="10" applyNumberFormat="1" applyFont="1" applyFill="1" applyBorder="1"/>
    <xf numFmtId="0" fontId="68" fillId="0" borderId="0" xfId="10" applyFont="1" applyFill="1" applyAlignment="1">
      <alignment horizontal="center"/>
    </xf>
    <xf numFmtId="0" fontId="68" fillId="0" borderId="0" xfId="10" applyFont="1" applyFill="1" applyAlignment="1">
      <alignment wrapText="1"/>
    </xf>
    <xf numFmtId="3" fontId="68" fillId="0" borderId="0" xfId="10" applyNumberFormat="1" applyFont="1" applyFill="1"/>
    <xf numFmtId="0" fontId="50" fillId="0" borderId="0" xfId="10" applyFont="1" applyBorder="1" applyAlignment="1">
      <alignment horizontal="right"/>
    </xf>
    <xf numFmtId="0" fontId="50" fillId="0" borderId="0" xfId="10" applyFont="1" applyFill="1" applyAlignment="1">
      <alignment horizontal="center"/>
    </xf>
    <xf numFmtId="3" fontId="50" fillId="0" borderId="0" xfId="10" applyNumberFormat="1" applyFont="1" applyFill="1"/>
    <xf numFmtId="0" fontId="68" fillId="0" borderId="0" xfId="10" applyFont="1" applyFill="1" applyAlignment="1">
      <alignment horizontal="left" wrapText="1"/>
    </xf>
    <xf numFmtId="0" fontId="68" fillId="0" borderId="0" xfId="10" applyFont="1" applyFill="1" applyAlignment="1">
      <alignment horizontal="left"/>
    </xf>
    <xf numFmtId="3" fontId="50" fillId="0" borderId="0" xfId="10" applyNumberFormat="1" applyFont="1" applyBorder="1"/>
    <xf numFmtId="0" fontId="50" fillId="0" borderId="0" xfId="10" applyFont="1" applyFill="1" applyBorder="1" applyAlignment="1">
      <alignment horizontal="left" wrapText="1"/>
    </xf>
    <xf numFmtId="3" fontId="50" fillId="0" borderId="0" xfId="10" applyNumberFormat="1" applyFont="1" applyFill="1" applyBorder="1"/>
    <xf numFmtId="3" fontId="68" fillId="0" borderId="0" xfId="10" applyNumberFormat="1" applyFont="1" applyBorder="1"/>
    <xf numFmtId="0" fontId="50" fillId="0" borderId="0" xfId="10" applyFont="1" applyFill="1" applyAlignment="1">
      <alignment wrapText="1"/>
    </xf>
    <xf numFmtId="0" fontId="50" fillId="0" borderId="0" xfId="14" applyFont="1" applyFill="1"/>
    <xf numFmtId="0" fontId="72" fillId="0" borderId="0" xfId="10" applyFont="1" applyFill="1" applyAlignment="1">
      <alignment wrapText="1"/>
    </xf>
    <xf numFmtId="3" fontId="50" fillId="0" borderId="0" xfId="15" applyNumberFormat="1" applyFont="1" applyFill="1" applyAlignment="1">
      <alignment horizontal="right"/>
    </xf>
    <xf numFmtId="0" fontId="50" fillId="0" borderId="0" xfId="10" applyFont="1" applyAlignment="1">
      <alignment horizontal="center"/>
    </xf>
    <xf numFmtId="0" fontId="50" fillId="0" borderId="0" xfId="10" applyFont="1" applyBorder="1" applyAlignment="1">
      <alignment horizontal="left" wrapText="1"/>
    </xf>
    <xf numFmtId="3" fontId="50" fillId="0" borderId="0" xfId="10" applyNumberFormat="1" applyFont="1"/>
    <xf numFmtId="0" fontId="50" fillId="0" borderId="0" xfId="10" applyFont="1" applyAlignment="1">
      <alignment wrapText="1"/>
    </xf>
    <xf numFmtId="0" fontId="68" fillId="0" borderId="0" xfId="10" applyFont="1" applyAlignment="1">
      <alignment wrapText="1"/>
    </xf>
    <xf numFmtId="3" fontId="68" fillId="0" borderId="0" xfId="10" applyNumberFormat="1" applyFont="1"/>
    <xf numFmtId="0" fontId="68" fillId="0" borderId="0" xfId="10" applyFont="1" applyBorder="1" applyAlignment="1">
      <alignment horizontal="right"/>
    </xf>
    <xf numFmtId="0" fontId="68" fillId="0" borderId="0" xfId="10" applyFont="1" applyAlignment="1">
      <alignment horizontal="center"/>
    </xf>
    <xf numFmtId="0" fontId="50" fillId="0" borderId="0" xfId="10" applyFont="1" applyAlignment="1">
      <alignment horizontal="left" wrapText="1"/>
    </xf>
    <xf numFmtId="0" fontId="50" fillId="0" borderId="0" xfId="10" applyFont="1" applyAlignment="1">
      <alignment horizontal="right"/>
    </xf>
    <xf numFmtId="0" fontId="68" fillId="0" borderId="0" xfId="10" applyFont="1"/>
    <xf numFmtId="0" fontId="69" fillId="0" borderId="0" xfId="10" applyFont="1" applyAlignment="1">
      <alignment horizontal="center"/>
    </xf>
    <xf numFmtId="0" fontId="30" fillId="0" borderId="0" xfId="10" applyFont="1"/>
    <xf numFmtId="0" fontId="30" fillId="0" borderId="2" xfId="10" applyFont="1" applyBorder="1"/>
    <xf numFmtId="0" fontId="27" fillId="0" borderId="1" xfId="10" applyFont="1" applyBorder="1" applyAlignment="1">
      <alignment horizontal="center" wrapText="1"/>
    </xf>
    <xf numFmtId="3" fontId="30" fillId="0" borderId="2" xfId="10" applyNumberFormat="1" applyFont="1" applyBorder="1"/>
    <xf numFmtId="0" fontId="30" fillId="0" borderId="1" xfId="10" applyFont="1" applyFill="1" applyBorder="1" applyAlignment="1">
      <alignment wrapText="1"/>
    </xf>
    <xf numFmtId="3" fontId="27" fillId="0" borderId="1" xfId="10" applyNumberFormat="1" applyFont="1" applyFill="1" applyBorder="1" applyAlignment="1">
      <alignment wrapText="1"/>
    </xf>
    <xf numFmtId="3" fontId="30" fillId="0" borderId="0" xfId="10" applyNumberFormat="1" applyFont="1"/>
    <xf numFmtId="3" fontId="27" fillId="0" borderId="1" xfId="10" applyNumberFormat="1" applyFont="1" applyFill="1" applyBorder="1" applyAlignment="1">
      <alignment horizontal="center" wrapText="1"/>
    </xf>
    <xf numFmtId="0" fontId="30" fillId="0" borderId="1" xfId="10" applyFont="1" applyFill="1" applyBorder="1" applyAlignment="1">
      <alignment horizontal="left" wrapText="1"/>
    </xf>
    <xf numFmtId="0" fontId="27" fillId="0" borderId="1" xfId="10" applyFont="1" applyFill="1" applyBorder="1" applyAlignment="1">
      <alignment wrapText="1"/>
    </xf>
    <xf numFmtId="3" fontId="30" fillId="0" borderId="22" xfId="10" applyNumberFormat="1" applyFont="1" applyBorder="1"/>
    <xf numFmtId="3" fontId="27" fillId="0" borderId="20" xfId="10" applyNumberFormat="1" applyFont="1" applyFill="1" applyBorder="1" applyAlignment="1">
      <alignment wrapText="1"/>
    </xf>
    <xf numFmtId="3" fontId="27" fillId="0" borderId="0" xfId="10" applyNumberFormat="1" applyFont="1" applyFill="1" applyBorder="1" applyAlignment="1">
      <alignment wrapText="1"/>
    </xf>
    <xf numFmtId="168" fontId="30" fillId="0" borderId="0" xfId="10" applyNumberFormat="1" applyFont="1" applyFill="1" applyBorder="1"/>
    <xf numFmtId="168" fontId="30" fillId="0" borderId="0" xfId="10" applyNumberFormat="1" applyFont="1" applyFill="1"/>
    <xf numFmtId="3" fontId="73" fillId="0" borderId="0" xfId="10" applyNumberFormat="1" applyFont="1" applyFill="1" applyBorder="1" applyAlignment="1">
      <alignment wrapText="1"/>
    </xf>
    <xf numFmtId="3" fontId="30" fillId="0" borderId="0" xfId="10" applyNumberFormat="1" applyFont="1" applyFill="1" applyBorder="1" applyAlignment="1">
      <alignment wrapText="1"/>
    </xf>
    <xf numFmtId="3" fontId="30" fillId="0" borderId="0" xfId="10" applyNumberFormat="1" applyFont="1" applyFill="1" applyBorder="1"/>
    <xf numFmtId="3" fontId="30" fillId="0" borderId="0" xfId="10" applyNumberFormat="1" applyFont="1" applyFill="1"/>
    <xf numFmtId="3" fontId="27" fillId="0" borderId="0" xfId="10" applyNumberFormat="1" applyFont="1" applyFill="1" applyBorder="1"/>
    <xf numFmtId="0" fontId="30" fillId="0" borderId="0" xfId="10" applyFont="1" applyFill="1" applyAlignment="1">
      <alignment wrapText="1"/>
    </xf>
    <xf numFmtId="0" fontId="30" fillId="0" borderId="0" xfId="10" applyFont="1" applyAlignment="1">
      <alignment wrapText="1"/>
    </xf>
    <xf numFmtId="0" fontId="30" fillId="0" borderId="18" xfId="10" applyFont="1" applyBorder="1" applyAlignment="1">
      <alignment horizontal="center"/>
    </xf>
    <xf numFmtId="0" fontId="30" fillId="0" borderId="9" xfId="10" applyFont="1" applyBorder="1"/>
    <xf numFmtId="0" fontId="27" fillId="0" borderId="9" xfId="10" applyFont="1" applyBorder="1" applyAlignment="1">
      <alignment horizontal="center"/>
    </xf>
    <xf numFmtId="0" fontId="27" fillId="0" borderId="19" xfId="10" applyFont="1" applyBorder="1" applyAlignment="1">
      <alignment horizontal="center"/>
    </xf>
    <xf numFmtId="0" fontId="27" fillId="0" borderId="0" xfId="10" applyFont="1" applyAlignment="1">
      <alignment horizontal="center"/>
    </xf>
    <xf numFmtId="0" fontId="74" fillId="0" borderId="2" xfId="10" applyFont="1" applyBorder="1" applyAlignment="1">
      <alignment horizontal="center"/>
    </xf>
    <xf numFmtId="0" fontId="75" fillId="0" borderId="1" xfId="10" applyFont="1" applyBorder="1"/>
    <xf numFmtId="0" fontId="27" fillId="0" borderId="1" xfId="10" applyFont="1" applyBorder="1" applyAlignment="1">
      <alignment horizontal="center"/>
    </xf>
    <xf numFmtId="0" fontId="30" fillId="0" borderId="15" xfId="10" applyFont="1" applyBorder="1" applyAlignment="1">
      <alignment horizontal="center"/>
    </xf>
    <xf numFmtId="0" fontId="30" fillId="0" borderId="0" xfId="10" applyFont="1" applyAlignment="1">
      <alignment horizontal="center"/>
    </xf>
    <xf numFmtId="0" fontId="30" fillId="0" borderId="2" xfId="10" applyFont="1" applyBorder="1" applyAlignment="1">
      <alignment horizontal="center"/>
    </xf>
    <xf numFmtId="3" fontId="30" fillId="0" borderId="1" xfId="10" applyNumberFormat="1" applyFont="1" applyBorder="1" applyAlignment="1">
      <alignment horizontal="right"/>
    </xf>
    <xf numFmtId="3" fontId="30" fillId="0" borderId="15" xfId="10" applyNumberFormat="1" applyFont="1" applyBorder="1" applyAlignment="1">
      <alignment horizontal="right"/>
    </xf>
    <xf numFmtId="3" fontId="30" fillId="0" borderId="0" xfId="10" applyNumberFormat="1" applyFont="1" applyAlignment="1">
      <alignment horizontal="right"/>
    </xf>
    <xf numFmtId="0" fontId="30" fillId="0" borderId="1" xfId="10" applyFont="1" applyBorder="1"/>
    <xf numFmtId="0" fontId="30" fillId="0" borderId="1" xfId="10" applyFont="1" applyBorder="1" applyAlignment="1">
      <alignment wrapText="1"/>
    </xf>
    <xf numFmtId="0" fontId="30" fillId="0" borderId="22" xfId="10" applyFont="1" applyBorder="1" applyAlignment="1">
      <alignment horizontal="center"/>
    </xf>
    <xf numFmtId="0" fontId="27" fillId="0" borderId="20" xfId="10" applyFont="1" applyBorder="1"/>
    <xf numFmtId="3" fontId="27" fillId="0" borderId="20" xfId="10" applyNumberFormat="1" applyFont="1" applyBorder="1" applyAlignment="1">
      <alignment horizontal="right"/>
    </xf>
    <xf numFmtId="3" fontId="27" fillId="0" borderId="21" xfId="10" applyNumberFormat="1" applyFont="1" applyBorder="1" applyAlignment="1">
      <alignment horizontal="right"/>
    </xf>
    <xf numFmtId="0" fontId="27" fillId="0" borderId="0" xfId="10" applyFont="1"/>
    <xf numFmtId="3" fontId="27" fillId="0" borderId="0" xfId="10" applyNumberFormat="1" applyFont="1" applyAlignment="1">
      <alignment horizontal="right"/>
    </xf>
    <xf numFmtId="0" fontId="30" fillId="0" borderId="0" xfId="10" applyFont="1" applyBorder="1"/>
    <xf numFmtId="3" fontId="30" fillId="0" borderId="0" xfId="10" applyNumberFormat="1" applyFont="1" applyBorder="1" applyAlignment="1">
      <alignment horizontal="right"/>
    </xf>
    <xf numFmtId="3" fontId="27" fillId="0" borderId="0" xfId="10" applyNumberFormat="1" applyFont="1" applyBorder="1" applyAlignment="1">
      <alignment horizontal="right"/>
    </xf>
    <xf numFmtId="0" fontId="61" fillId="0" borderId="0" xfId="10" applyFont="1"/>
    <xf numFmtId="0" fontId="15" fillId="0" borderId="0" xfId="10" applyFont="1" applyBorder="1" applyAlignment="1">
      <alignment horizontal="right"/>
    </xf>
    <xf numFmtId="3" fontId="57" fillId="0" borderId="0" xfId="10" applyNumberFormat="1" applyFont="1"/>
    <xf numFmtId="3" fontId="29" fillId="0" borderId="0" xfId="10" applyNumberFormat="1" applyFont="1" applyBorder="1"/>
    <xf numFmtId="0" fontId="15" fillId="0" borderId="0" xfId="10" applyFont="1" applyBorder="1"/>
    <xf numFmtId="0" fontId="29" fillId="0" borderId="0" xfId="10" applyFont="1" applyBorder="1"/>
    <xf numFmtId="0" fontId="29" fillId="0" borderId="0" xfId="10" applyFont="1"/>
    <xf numFmtId="0" fontId="52" fillId="0" borderId="0" xfId="10" applyFont="1"/>
    <xf numFmtId="0" fontId="50" fillId="0" borderId="18" xfId="10" applyNumberFormat="1" applyFont="1" applyBorder="1" applyAlignment="1">
      <alignment horizontal="centerContinuous"/>
    </xf>
    <xf numFmtId="0" fontId="50" fillId="0" borderId="9" xfId="10" applyNumberFormat="1" applyFont="1" applyBorder="1" applyAlignment="1">
      <alignment horizontal="center"/>
    </xf>
    <xf numFmtId="3" fontId="50" fillId="0" borderId="19" xfId="10" applyNumberFormat="1" applyFont="1" applyBorder="1" applyAlignment="1">
      <alignment horizontal="centerContinuous"/>
    </xf>
    <xf numFmtId="0" fontId="68" fillId="0" borderId="2" xfId="10" applyNumberFormat="1" applyFont="1" applyBorder="1"/>
    <xf numFmtId="0" fontId="50" fillId="0" borderId="1" xfId="10" applyNumberFormat="1" applyFont="1" applyBorder="1"/>
    <xf numFmtId="3" fontId="50" fillId="0" borderId="15" xfId="10" applyNumberFormat="1" applyFont="1" applyBorder="1"/>
    <xf numFmtId="0" fontId="50" fillId="0" borderId="2" xfId="10" applyFont="1" applyBorder="1" applyAlignment="1">
      <alignment wrapText="1"/>
    </xf>
    <xf numFmtId="3" fontId="70" fillId="0" borderId="0" xfId="10" applyNumberFormat="1" applyFont="1" applyBorder="1"/>
    <xf numFmtId="0" fontId="68" fillId="0" borderId="2" xfId="10" applyNumberFormat="1" applyFont="1" applyBorder="1" applyAlignment="1">
      <alignment horizontal="right"/>
    </xf>
    <xf numFmtId="3" fontId="76" fillId="0" borderId="0" xfId="10" applyNumberFormat="1" applyFont="1" applyBorder="1"/>
    <xf numFmtId="3" fontId="50" fillId="0" borderId="0" xfId="10" applyNumberFormat="1" applyFont="1" applyBorder="1" applyAlignment="1">
      <alignment horizontal="right"/>
    </xf>
    <xf numFmtId="0" fontId="70" fillId="0" borderId="2" xfId="10" applyFont="1" applyBorder="1"/>
    <xf numFmtId="0" fontId="68" fillId="0" borderId="2" xfId="10" applyFont="1" applyBorder="1" applyAlignment="1">
      <alignment horizontal="right"/>
    </xf>
    <xf numFmtId="0" fontId="70" fillId="0" borderId="22" xfId="10" applyFont="1" applyBorder="1"/>
    <xf numFmtId="0" fontId="50" fillId="0" borderId="0" xfId="10" applyNumberFormat="1" applyFont="1" applyBorder="1"/>
    <xf numFmtId="168" fontId="50" fillId="0" borderId="0" xfId="10" applyNumberFormat="1" applyFont="1" applyBorder="1"/>
    <xf numFmtId="170" fontId="50" fillId="0" borderId="0" xfId="10" applyNumberFormat="1" applyFont="1" applyBorder="1"/>
    <xf numFmtId="0" fontId="68" fillId="0" borderId="0" xfId="10" applyFont="1" applyBorder="1"/>
    <xf numFmtId="0" fontId="50" fillId="0" borderId="0" xfId="10" applyNumberFormat="1" applyFont="1" applyBorder="1" applyAlignment="1">
      <alignment horizontal="left"/>
    </xf>
    <xf numFmtId="0" fontId="77" fillId="0" borderId="0" xfId="10" applyNumberFormat="1" applyFont="1" applyBorder="1"/>
    <xf numFmtId="0" fontId="50" fillId="0" borderId="0" xfId="10" applyNumberFormat="1" applyFont="1" applyFill="1" applyBorder="1"/>
    <xf numFmtId="170" fontId="50" fillId="0" borderId="0" xfId="10" applyNumberFormat="1" applyFont="1" applyBorder="1" applyAlignment="1">
      <alignment horizontal="left"/>
    </xf>
    <xf numFmtId="0" fontId="68" fillId="0" borderId="0" xfId="10" applyFont="1" applyBorder="1" applyAlignment="1">
      <alignment horizontal="left"/>
    </xf>
    <xf numFmtId="0" fontId="50" fillId="0" borderId="0" xfId="10" applyFont="1" applyBorder="1" applyAlignment="1">
      <alignment horizontal="left"/>
    </xf>
    <xf numFmtId="0" fontId="50" fillId="0" borderId="0" xfId="10" applyFont="1" applyBorder="1"/>
    <xf numFmtId="0" fontId="50" fillId="0" borderId="0" xfId="10" applyFont="1" applyAlignment="1">
      <alignment horizontal="left"/>
    </xf>
    <xf numFmtId="0" fontId="29" fillId="0" borderId="18" xfId="10" applyFont="1" applyBorder="1" applyAlignment="1">
      <alignment horizontal="center"/>
    </xf>
    <xf numFmtId="0" fontId="29" fillId="0" borderId="9" xfId="10" applyFont="1" applyBorder="1" applyAlignment="1">
      <alignment horizontal="center" wrapText="1"/>
    </xf>
    <xf numFmtId="0" fontId="29" fillId="0" borderId="9" xfId="10" applyFont="1" applyBorder="1" applyAlignment="1">
      <alignment horizontal="center"/>
    </xf>
    <xf numFmtId="0" fontId="29" fillId="0" borderId="19" xfId="10" applyFont="1" applyBorder="1" applyAlignment="1">
      <alignment horizontal="center"/>
    </xf>
    <xf numFmtId="0" fontId="15" fillId="0" borderId="0" xfId="10" applyFont="1" applyAlignment="1">
      <alignment horizontal="center"/>
    </xf>
    <xf numFmtId="0" fontId="15" fillId="0" borderId="2" xfId="10" applyFont="1" applyFill="1" applyBorder="1" applyAlignment="1">
      <alignment horizontal="center"/>
    </xf>
    <xf numFmtId="3" fontId="29" fillId="0" borderId="1" xfId="10" applyNumberFormat="1" applyFont="1" applyBorder="1"/>
    <xf numFmtId="3" fontId="15" fillId="0" borderId="15" xfId="10" applyNumberFormat="1" applyFont="1" applyBorder="1" applyAlignment="1">
      <alignment horizontal="right"/>
    </xf>
    <xf numFmtId="0" fontId="15" fillId="0" borderId="22" xfId="10" applyFont="1" applyBorder="1"/>
    <xf numFmtId="0" fontId="29" fillId="0" borderId="20" xfId="10" applyFont="1" applyFill="1" applyBorder="1" applyAlignment="1">
      <alignment horizontal="left" wrapText="1"/>
    </xf>
    <xf numFmtId="0" fontId="31" fillId="0" borderId="0" xfId="10"/>
    <xf numFmtId="0" fontId="21" fillId="0" borderId="2" xfId="17" applyFont="1" applyBorder="1" applyAlignment="1">
      <alignment horizontal="center" wrapText="1"/>
    </xf>
    <xf numFmtId="3" fontId="28" fillId="0" borderId="1" xfId="17" applyNumberFormat="1" applyFont="1" applyBorder="1" applyAlignment="1">
      <alignment horizontal="left" wrapText="1"/>
    </xf>
    <xf numFmtId="0" fontId="21" fillId="0" borderId="2" xfId="17" applyFont="1" applyBorder="1" applyAlignment="1">
      <alignment horizontal="center"/>
    </xf>
    <xf numFmtId="3" fontId="30" fillId="0" borderId="1" xfId="17" applyNumberFormat="1" applyFont="1" applyFill="1" applyBorder="1" applyAlignment="1">
      <alignment horizontal="left"/>
    </xf>
    <xf numFmtId="3" fontId="30" fillId="0" borderId="1" xfId="17" applyNumberFormat="1" applyFont="1" applyFill="1" applyBorder="1" applyAlignment="1">
      <alignment horizontal="right"/>
    </xf>
    <xf numFmtId="3" fontId="30" fillId="0" borderId="1" xfId="10" applyNumberFormat="1" applyFont="1" applyFill="1" applyBorder="1"/>
    <xf numFmtId="3" fontId="30" fillId="0" borderId="15" xfId="10" applyNumberFormat="1" applyFont="1" applyFill="1" applyBorder="1"/>
    <xf numFmtId="0" fontId="16" fillId="0" borderId="0" xfId="10" applyFont="1"/>
    <xf numFmtId="0" fontId="21" fillId="0" borderId="22" xfId="17" applyFont="1" applyBorder="1" applyAlignment="1">
      <alignment horizontal="center"/>
    </xf>
    <xf numFmtId="3" fontId="27" fillId="0" borderId="20" xfId="17" applyNumberFormat="1" applyFont="1" applyBorder="1"/>
    <xf numFmtId="3" fontId="27" fillId="0" borderId="20" xfId="17" applyNumberFormat="1" applyFont="1" applyBorder="1" applyAlignment="1">
      <alignment horizontal="right"/>
    </xf>
    <xf numFmtId="3" fontId="27" fillId="0" borderId="21" xfId="17" applyNumberFormat="1" applyFont="1" applyBorder="1" applyAlignment="1">
      <alignment horizontal="right"/>
    </xf>
    <xf numFmtId="0" fontId="78" fillId="0" borderId="0" xfId="10" applyFont="1"/>
    <xf numFmtId="168" fontId="21" fillId="0" borderId="18" xfId="10" applyNumberFormat="1" applyFont="1" applyBorder="1"/>
    <xf numFmtId="168" fontId="21" fillId="0" borderId="9" xfId="10" applyNumberFormat="1" applyFont="1" applyBorder="1" applyAlignment="1"/>
    <xf numFmtId="168" fontId="21" fillId="0" borderId="9" xfId="10" applyNumberFormat="1" applyFont="1" applyBorder="1" applyAlignment="1">
      <alignment horizontal="center" vertical="center" wrapText="1"/>
    </xf>
    <xf numFmtId="168" fontId="21" fillId="0" borderId="19" xfId="10" applyNumberFormat="1" applyFont="1" applyBorder="1" applyAlignment="1">
      <alignment horizontal="center" vertical="center" wrapText="1"/>
    </xf>
    <xf numFmtId="0" fontId="21" fillId="0" borderId="0" xfId="10" applyFont="1"/>
    <xf numFmtId="168" fontId="28" fillId="0" borderId="2" xfId="10" applyNumberFormat="1" applyFont="1" applyBorder="1" applyAlignment="1">
      <alignment horizontal="centerContinuous"/>
    </xf>
    <xf numFmtId="168" fontId="21" fillId="0" borderId="1" xfId="10" applyNumberFormat="1" applyFont="1" applyBorder="1" applyAlignment="1">
      <alignment horizontal="centerContinuous"/>
    </xf>
    <xf numFmtId="168" fontId="21" fillId="0" borderId="1" xfId="10" applyNumberFormat="1" applyFont="1" applyBorder="1" applyAlignment="1">
      <alignment horizontal="right"/>
    </xf>
    <xf numFmtId="168" fontId="21" fillId="0" borderId="15" xfId="10" applyNumberFormat="1" applyFont="1" applyBorder="1"/>
    <xf numFmtId="3" fontId="21" fillId="0" borderId="0" xfId="10" applyNumberFormat="1" applyFont="1" applyBorder="1" applyAlignment="1">
      <alignment horizontal="right"/>
    </xf>
    <xf numFmtId="168" fontId="21" fillId="0" borderId="2" xfId="10" applyNumberFormat="1" applyFont="1" applyBorder="1" applyAlignment="1">
      <alignment horizontal="center"/>
    </xf>
    <xf numFmtId="168" fontId="50" fillId="0" borderId="1" xfId="10" applyNumberFormat="1" applyFont="1" applyBorder="1" applyAlignment="1">
      <alignment vertical="center" wrapText="1"/>
    </xf>
    <xf numFmtId="168" fontId="50" fillId="0" borderId="1" xfId="10" applyNumberFormat="1" applyFont="1" applyBorder="1" applyAlignment="1">
      <alignment wrapText="1"/>
    </xf>
    <xf numFmtId="3" fontId="21" fillId="0" borderId="0" xfId="10" applyNumberFormat="1" applyFont="1" applyAlignment="1">
      <alignment horizontal="right"/>
    </xf>
    <xf numFmtId="168" fontId="28" fillId="0" borderId="1" xfId="10" applyNumberFormat="1" applyFont="1" applyBorder="1" applyAlignment="1"/>
    <xf numFmtId="168" fontId="28" fillId="0" borderId="1" xfId="10" applyNumberFormat="1" applyFont="1" applyBorder="1"/>
    <xf numFmtId="3" fontId="28" fillId="0" borderId="0" xfId="10" applyNumberFormat="1" applyFont="1" applyAlignment="1">
      <alignment horizontal="right"/>
    </xf>
    <xf numFmtId="168" fontId="21" fillId="0" borderId="1" xfId="10" applyNumberFormat="1" applyFont="1" applyBorder="1" applyAlignment="1"/>
    <xf numFmtId="168" fontId="21" fillId="0" borderId="1" xfId="10" applyNumberFormat="1" applyFont="1" applyBorder="1"/>
    <xf numFmtId="168" fontId="50" fillId="0" borderId="1" xfId="10" applyNumberFormat="1" applyFont="1" applyBorder="1" applyAlignment="1"/>
    <xf numFmtId="168" fontId="50" fillId="0" borderId="1" xfId="10" applyNumberFormat="1" applyFont="1" applyFill="1" applyBorder="1" applyAlignment="1">
      <alignment horizontal="left" vertical="center" wrapText="1"/>
    </xf>
    <xf numFmtId="168" fontId="70" fillId="0" borderId="1" xfId="10" applyNumberFormat="1" applyFont="1" applyBorder="1" applyAlignment="1"/>
    <xf numFmtId="168" fontId="50" fillId="0" borderId="1" xfId="10" applyNumberFormat="1" applyFont="1" applyFill="1" applyBorder="1" applyAlignment="1"/>
    <xf numFmtId="168" fontId="50" fillId="0" borderId="1" xfId="10" applyNumberFormat="1" applyFont="1" applyBorder="1" applyAlignment="1">
      <alignment horizontal="left" vertical="center" wrapText="1"/>
    </xf>
    <xf numFmtId="168" fontId="21" fillId="0" borderId="22" xfId="10" applyNumberFormat="1" applyFont="1" applyBorder="1" applyAlignment="1">
      <alignment horizontal="center"/>
    </xf>
    <xf numFmtId="168" fontId="28" fillId="0" borderId="20" xfId="10" applyNumberFormat="1" applyFont="1" applyBorder="1" applyAlignment="1"/>
    <xf numFmtId="168" fontId="28" fillId="0" borderId="20" xfId="10" applyNumberFormat="1" applyFont="1" applyBorder="1"/>
    <xf numFmtId="168" fontId="21" fillId="0" borderId="0" xfId="10" applyNumberFormat="1" applyFont="1"/>
    <xf numFmtId="168" fontId="21" fillId="0" borderId="0" xfId="10" applyNumberFormat="1" applyFont="1" applyAlignment="1"/>
    <xf numFmtId="3" fontId="50" fillId="0" borderId="0" xfId="10" applyNumberFormat="1" applyFont="1" applyFill="1" applyAlignment="1">
      <alignment horizontal="left" vertical="center" wrapText="1"/>
    </xf>
    <xf numFmtId="3" fontId="21" fillId="0" borderId="0" xfId="10" applyNumberFormat="1" applyFont="1"/>
    <xf numFmtId="0" fontId="50" fillId="0" borderId="0" xfId="10" applyFont="1" applyFill="1" applyAlignment="1">
      <alignment horizontal="left" vertical="center" wrapText="1"/>
    </xf>
    <xf numFmtId="0" fontId="68" fillId="0" borderId="0" xfId="10" applyFont="1" applyFill="1" applyBorder="1" applyAlignment="1"/>
    <xf numFmtId="3" fontId="68" fillId="0" borderId="0" xfId="10" applyNumberFormat="1" applyFont="1" applyFill="1" applyAlignment="1">
      <alignment horizontal="left" vertical="center" wrapText="1"/>
    </xf>
    <xf numFmtId="0" fontId="50" fillId="0" borderId="0" xfId="10" applyFont="1" applyBorder="1" applyAlignment="1">
      <alignment wrapText="1"/>
    </xf>
    <xf numFmtId="0" fontId="50" fillId="0" borderId="0" xfId="10" applyFont="1" applyAlignment="1">
      <alignment horizontal="left" vertical="center" wrapText="1"/>
    </xf>
    <xf numFmtId="0" fontId="21" fillId="0" borderId="0" xfId="10" applyFont="1" applyAlignment="1"/>
    <xf numFmtId="0" fontId="51" fillId="2" borderId="29" xfId="10" applyFont="1" applyFill="1" applyBorder="1" applyAlignment="1">
      <alignment wrapText="1"/>
    </xf>
    <xf numFmtId="0" fontId="9" fillId="0" borderId="15" xfId="10" applyFont="1" applyBorder="1" applyAlignment="1">
      <alignment horizontal="right" vertical="center" wrapText="1"/>
    </xf>
    <xf numFmtId="0" fontId="31" fillId="0" borderId="0" xfId="10" applyBorder="1"/>
    <xf numFmtId="3" fontId="15" fillId="0" borderId="0" xfId="10" applyNumberFormat="1" applyFont="1" applyAlignment="1">
      <alignment wrapText="1"/>
    </xf>
    <xf numFmtId="3" fontId="53" fillId="0" borderId="0" xfId="10" applyNumberFormat="1" applyFont="1" applyFill="1"/>
    <xf numFmtId="3" fontId="15" fillId="0" borderId="0" xfId="10" applyNumberFormat="1" applyFont="1" applyFill="1" applyAlignment="1">
      <alignment wrapText="1"/>
    </xf>
    <xf numFmtId="3" fontId="29" fillId="0" borderId="20" xfId="10" applyNumberFormat="1" applyFont="1" applyFill="1" applyBorder="1" applyAlignment="1">
      <alignment wrapText="1"/>
    </xf>
    <xf numFmtId="3" fontId="15" fillId="0" borderId="22" xfId="10" applyNumberFormat="1" applyFont="1" applyFill="1" applyBorder="1"/>
    <xf numFmtId="3" fontId="15" fillId="0" borderId="2" xfId="10" applyNumberFormat="1" applyFont="1" applyFill="1" applyBorder="1"/>
    <xf numFmtId="3" fontId="84" fillId="0" borderId="15" xfId="10" applyNumberFormat="1" applyFont="1" applyFill="1" applyBorder="1" applyAlignment="1">
      <alignment horizontal="center" vertical="center"/>
    </xf>
    <xf numFmtId="3" fontId="84" fillId="0" borderId="1" xfId="10" applyNumberFormat="1" applyFont="1" applyFill="1" applyBorder="1" applyAlignment="1">
      <alignment horizontal="center" vertical="center" wrapText="1"/>
    </xf>
    <xf numFmtId="3" fontId="29" fillId="0" borderId="1" xfId="10" applyNumberFormat="1" applyFont="1" applyFill="1" applyBorder="1" applyAlignment="1">
      <alignment horizontal="center" vertical="center" wrapText="1"/>
    </xf>
    <xf numFmtId="3" fontId="20" fillId="0" borderId="1" xfId="5" applyNumberFormat="1" applyFont="1" applyFill="1" applyBorder="1" applyAlignment="1">
      <alignment horizontal="right" vertical="center" wrapText="1"/>
    </xf>
    <xf numFmtId="3" fontId="15" fillId="0" borderId="1" xfId="15" applyNumberFormat="1" applyFont="1" applyFill="1" applyBorder="1" applyAlignment="1">
      <alignment horizontal="left" wrapText="1"/>
    </xf>
    <xf numFmtId="3" fontId="13" fillId="0" borderId="20" xfId="10" applyNumberFormat="1" applyFont="1" applyBorder="1" applyAlignment="1">
      <alignment horizontal="right" vertical="center"/>
    </xf>
    <xf numFmtId="3" fontId="13" fillId="0" borderId="21" xfId="10" applyNumberFormat="1" applyFont="1" applyBorder="1" applyAlignment="1">
      <alignment horizontal="right" vertical="center"/>
    </xf>
    <xf numFmtId="0" fontId="9" fillId="0" borderId="1" xfId="10" applyFont="1" applyBorder="1" applyAlignment="1">
      <alignment horizontal="right" vertical="center"/>
    </xf>
    <xf numFmtId="0" fontId="9" fillId="0" borderId="9" xfId="10" applyFont="1" applyBorder="1" applyAlignment="1">
      <alignment horizontal="center" vertical="center"/>
    </xf>
    <xf numFmtId="0" fontId="9" fillId="0" borderId="19" xfId="10" applyFont="1" applyBorder="1" applyAlignment="1">
      <alignment horizontal="center" vertical="center"/>
    </xf>
    <xf numFmtId="0" fontId="13" fillId="0" borderId="1" xfId="10" applyFont="1" applyBorder="1" applyAlignment="1">
      <alignment horizontal="center" vertical="center"/>
    </xf>
    <xf numFmtId="0" fontId="13" fillId="0" borderId="15" xfId="10" applyFont="1" applyBorder="1" applyAlignment="1">
      <alignment horizontal="center" vertical="center" wrapText="1"/>
    </xf>
    <xf numFmtId="3" fontId="29" fillId="0" borderId="34" xfId="14" applyNumberFormat="1" applyFont="1" applyFill="1" applyBorder="1" applyAlignment="1">
      <alignment horizontal="center" wrapText="1"/>
    </xf>
    <xf numFmtId="0" fontId="29" fillId="0" borderId="20" xfId="10" applyFont="1" applyFill="1" applyBorder="1" applyAlignment="1">
      <alignment wrapText="1"/>
    </xf>
    <xf numFmtId="0" fontId="29" fillId="0" borderId="1" xfId="10" applyFont="1" applyFill="1" applyBorder="1" applyAlignment="1">
      <alignment horizontal="left" wrapText="1"/>
    </xf>
    <xf numFmtId="0" fontId="28" fillId="0" borderId="1" xfId="10" applyFont="1" applyFill="1" applyBorder="1" applyAlignment="1">
      <alignment horizontal="center" wrapText="1"/>
    </xf>
    <xf numFmtId="0" fontId="28" fillId="0" borderId="9" xfId="14" applyFont="1" applyFill="1" applyBorder="1" applyAlignment="1">
      <alignment horizontal="center" wrapText="1"/>
    </xf>
    <xf numFmtId="3" fontId="15" fillId="0" borderId="1" xfId="15" applyNumberFormat="1" applyFont="1" applyFill="1" applyBorder="1" applyAlignment="1">
      <alignment horizontal="center" wrapText="1"/>
    </xf>
    <xf numFmtId="3" fontId="15" fillId="0" borderId="1" xfId="10" applyNumberFormat="1" applyFont="1" applyBorder="1" applyAlignment="1">
      <alignment horizontal="center" wrapText="1"/>
    </xf>
    <xf numFmtId="3" fontId="29" fillId="0" borderId="1" xfId="15" applyNumberFormat="1" applyFont="1" applyFill="1" applyBorder="1" applyAlignment="1">
      <alignment horizontal="center" wrapText="1"/>
    </xf>
    <xf numFmtId="3" fontId="29" fillId="0" borderId="20" xfId="10" applyNumberFormat="1" applyFont="1" applyFill="1" applyBorder="1" applyAlignment="1">
      <alignment horizontal="center" wrapText="1"/>
    </xf>
    <xf numFmtId="0" fontId="68" fillId="0" borderId="5" xfId="10" applyFont="1" applyFill="1" applyBorder="1" applyAlignment="1">
      <alignment wrapText="1"/>
    </xf>
    <xf numFmtId="3" fontId="68" fillId="0" borderId="5" xfId="10" applyNumberFormat="1" applyFont="1" applyFill="1" applyBorder="1"/>
    <xf numFmtId="3" fontId="68" fillId="0" borderId="16" xfId="10" applyNumberFormat="1" applyFont="1" applyFill="1" applyBorder="1"/>
    <xf numFmtId="3" fontId="68" fillId="0" borderId="21" xfId="10" applyNumberFormat="1" applyFont="1" applyFill="1" applyBorder="1"/>
    <xf numFmtId="168" fontId="29" fillId="0" borderId="1" xfId="10" applyNumberFormat="1" applyFont="1" applyBorder="1" applyAlignment="1">
      <alignment horizontal="centerContinuous"/>
    </xf>
    <xf numFmtId="168" fontId="15" fillId="0" borderId="1" xfId="10" applyNumberFormat="1" applyFont="1" applyBorder="1"/>
    <xf numFmtId="168" fontId="15" fillId="0" borderId="15" xfId="10" applyNumberFormat="1" applyFont="1" applyBorder="1"/>
    <xf numFmtId="3" fontId="15" fillId="0" borderId="1" xfId="10" applyNumberFormat="1" applyFont="1" applyFill="1" applyBorder="1" applyAlignment="1"/>
    <xf numFmtId="0" fontId="30" fillId="0" borderId="18" xfId="10" applyFont="1" applyBorder="1" applyAlignment="1">
      <alignment horizontal="right" wrapText="1"/>
    </xf>
    <xf numFmtId="169" fontId="29" fillId="0" borderId="3" xfId="10" applyNumberFormat="1" applyFont="1" applyBorder="1" applyAlignment="1">
      <alignment horizontal="center"/>
    </xf>
    <xf numFmtId="169" fontId="29" fillId="0" borderId="35" xfId="10" applyNumberFormat="1" applyFont="1" applyBorder="1" applyAlignment="1">
      <alignment horizontal="center"/>
    </xf>
    <xf numFmtId="0" fontId="27" fillId="0" borderId="34" xfId="10" applyFont="1" applyBorder="1" applyAlignment="1">
      <alignment horizontal="center" wrapText="1"/>
    </xf>
    <xf numFmtId="0" fontId="27" fillId="0" borderId="3" xfId="10" applyFont="1" applyBorder="1" applyAlignment="1">
      <alignment horizontal="center" wrapText="1"/>
    </xf>
    <xf numFmtId="0" fontId="68" fillId="0" borderId="3" xfId="10" applyFont="1" applyFill="1" applyBorder="1" applyAlignment="1">
      <alignment wrapText="1"/>
    </xf>
    <xf numFmtId="3" fontId="68" fillId="0" borderId="3" xfId="10" applyNumberFormat="1" applyFont="1" applyFill="1" applyBorder="1" applyAlignment="1">
      <alignment horizontal="right" wrapText="1"/>
    </xf>
    <xf numFmtId="0" fontId="29" fillId="2" borderId="1" xfId="10" applyFont="1" applyFill="1" applyBorder="1" applyAlignment="1">
      <alignment horizontal="center"/>
    </xf>
    <xf numFmtId="0" fontId="62" fillId="0" borderId="1" xfId="10" applyFont="1" applyBorder="1"/>
    <xf numFmtId="3" fontId="27" fillId="0" borderId="1" xfId="10" applyNumberFormat="1" applyFont="1" applyBorder="1" applyAlignment="1">
      <alignment horizontal="center"/>
    </xf>
    <xf numFmtId="0" fontId="31" fillId="0" borderId="0" xfId="10" applyFont="1" applyBorder="1"/>
    <xf numFmtId="167" fontId="29" fillId="0" borderId="34" xfId="16" applyNumberFormat="1" applyFont="1" applyBorder="1" applyAlignment="1">
      <alignment horizontal="right"/>
    </xf>
    <xf numFmtId="167" fontId="29" fillId="0" borderId="3" xfId="16" applyNumberFormat="1" applyFont="1" applyFill="1" applyBorder="1" applyAlignment="1">
      <alignment horizontal="left"/>
    </xf>
    <xf numFmtId="3" fontId="21" fillId="0" borderId="3" xfId="16" applyNumberFormat="1" applyFont="1" applyFill="1" applyBorder="1" applyAlignment="1">
      <alignment horizontal="center" wrapText="1"/>
    </xf>
    <xf numFmtId="0" fontId="21" fillId="0" borderId="35" xfId="10" applyFont="1" applyBorder="1" applyAlignment="1">
      <alignment wrapText="1"/>
    </xf>
    <xf numFmtId="3" fontId="15" fillId="0" borderId="2" xfId="10" applyNumberFormat="1" applyFont="1" applyBorder="1" applyAlignment="1">
      <alignment horizontal="right"/>
    </xf>
    <xf numFmtId="3" fontId="71" fillId="0" borderId="1" xfId="10" applyNumberFormat="1" applyFont="1" applyBorder="1"/>
    <xf numFmtId="3" fontId="84" fillId="0" borderId="15" xfId="10" applyNumberFormat="1" applyFont="1" applyBorder="1"/>
    <xf numFmtId="3" fontId="84" fillId="0" borderId="1" xfId="10" applyNumberFormat="1" applyFont="1" applyBorder="1"/>
    <xf numFmtId="3" fontId="71" fillId="0" borderId="20" xfId="10" applyNumberFormat="1" applyFont="1" applyBorder="1"/>
    <xf numFmtId="3" fontId="84" fillId="0" borderId="21" xfId="10" applyNumberFormat="1" applyFont="1" applyBorder="1"/>
    <xf numFmtId="168" fontId="71" fillId="0" borderId="0" xfId="10" applyNumberFormat="1" applyFont="1" applyBorder="1"/>
    <xf numFmtId="168" fontId="71" fillId="0" borderId="0" xfId="10" applyNumberFormat="1" applyFont="1" applyFill="1" applyBorder="1"/>
    <xf numFmtId="0" fontId="29" fillId="0" borderId="2" xfId="10" applyFont="1" applyBorder="1"/>
    <xf numFmtId="0" fontId="29" fillId="0" borderId="1" xfId="10" applyFont="1" applyFill="1" applyBorder="1" applyAlignment="1">
      <alignment horizontal="center" wrapText="1"/>
    </xf>
    <xf numFmtId="0" fontId="29" fillId="2" borderId="1" xfId="10" applyFont="1" applyFill="1" applyBorder="1" applyAlignment="1">
      <alignment horizontal="center" wrapText="1"/>
    </xf>
    <xf numFmtId="0" fontId="13" fillId="0" borderId="1" xfId="10" applyFont="1" applyBorder="1" applyAlignment="1">
      <alignment horizontal="center"/>
    </xf>
    <xf numFmtId="0" fontId="13" fillId="0" borderId="15" xfId="10" applyFont="1" applyBorder="1" applyAlignment="1">
      <alignment horizontal="center" wrapText="1"/>
    </xf>
    <xf numFmtId="0" fontId="13" fillId="0" borderId="12" xfId="10" applyFont="1" applyBorder="1" applyAlignment="1">
      <alignment horizontal="center"/>
    </xf>
    <xf numFmtId="0" fontId="13" fillId="0" borderId="12" xfId="10" applyFont="1" applyBorder="1" applyAlignment="1">
      <alignment horizontal="center" vertical="center"/>
    </xf>
    <xf numFmtId="0" fontId="9" fillId="0" borderId="12" xfId="10" applyFont="1" applyBorder="1" applyAlignment="1">
      <alignment vertical="center"/>
    </xf>
    <xf numFmtId="0" fontId="13" fillId="0" borderId="37" xfId="10" applyFont="1" applyBorder="1" applyAlignment="1">
      <alignment vertical="center"/>
    </xf>
    <xf numFmtId="0" fontId="9" fillId="0" borderId="36" xfId="10" applyFont="1" applyBorder="1" applyAlignment="1">
      <alignment vertical="center"/>
    </xf>
    <xf numFmtId="3" fontId="71" fillId="0" borderId="1" xfId="18" applyNumberFormat="1" applyFont="1" applyBorder="1"/>
    <xf numFmtId="3" fontId="84" fillId="0" borderId="1" xfId="18" applyNumberFormat="1" applyFont="1" applyBorder="1"/>
    <xf numFmtId="0" fontId="80" fillId="0" borderId="1" xfId="18" applyFont="1" applyBorder="1" applyAlignment="1">
      <alignment horizontal="center"/>
    </xf>
    <xf numFmtId="3" fontId="80" fillId="0" borderId="1" xfId="18" applyNumberFormat="1" applyFont="1" applyBorder="1"/>
    <xf numFmtId="3" fontId="81" fillId="0" borderId="1" xfId="18" applyNumberFormat="1" applyFont="1" applyBorder="1"/>
    <xf numFmtId="3" fontId="80" fillId="0" borderId="1" xfId="18" applyNumberFormat="1" applyFont="1" applyBorder="1" applyAlignment="1">
      <alignment horizontal="center"/>
    </xf>
    <xf numFmtId="3" fontId="81" fillId="0" borderId="1" xfId="18" applyNumberFormat="1" applyFont="1" applyBorder="1" applyAlignment="1">
      <alignment horizontal="center"/>
    </xf>
    <xf numFmtId="171" fontId="85" fillId="0" borderId="0" xfId="18" applyNumberFormat="1" applyFont="1" applyFill="1" applyBorder="1"/>
    <xf numFmtId="3" fontId="83" fillId="0" borderId="1" xfId="18" applyNumberFormat="1" applyFont="1" applyBorder="1"/>
    <xf numFmtId="0" fontId="68" fillId="0" borderId="1" xfId="10" applyFont="1" applyBorder="1" applyAlignment="1">
      <alignment horizontal="center"/>
    </xf>
    <xf numFmtId="0" fontId="31" fillId="0" borderId="1" xfId="10" applyBorder="1" applyAlignment="1">
      <alignment horizontal="right"/>
    </xf>
    <xf numFmtId="3" fontId="31" fillId="0" borderId="0" xfId="10" applyNumberFormat="1"/>
    <xf numFmtId="3" fontId="15" fillId="0" borderId="1" xfId="10" applyNumberFormat="1" applyFont="1" applyBorder="1" applyAlignment="1">
      <alignment horizontal="right"/>
    </xf>
    <xf numFmtId="3" fontId="29" fillId="0" borderId="1" xfId="10" applyNumberFormat="1" applyFont="1" applyBorder="1" applyAlignment="1">
      <alignment horizontal="right"/>
    </xf>
    <xf numFmtId="3" fontId="29" fillId="0" borderId="20" xfId="10" applyNumberFormat="1" applyFont="1" applyBorder="1"/>
    <xf numFmtId="3" fontId="29" fillId="0" borderId="21" xfId="10" applyNumberFormat="1" applyFont="1" applyBorder="1"/>
    <xf numFmtId="0" fontId="86" fillId="0" borderId="0" xfId="12" applyFont="1"/>
    <xf numFmtId="0" fontId="88" fillId="0" borderId="0" xfId="1" applyFont="1" applyFill="1" applyAlignment="1">
      <alignment wrapText="1"/>
    </xf>
    <xf numFmtId="165" fontId="88" fillId="0" borderId="0" xfId="1" applyNumberFormat="1" applyFont="1" applyFill="1" applyAlignment="1">
      <alignment wrapText="1"/>
    </xf>
    <xf numFmtId="0" fontId="50" fillId="2" borderId="30" xfId="10" applyFont="1" applyFill="1" applyBorder="1" applyAlignment="1"/>
    <xf numFmtId="0" fontId="50" fillId="2" borderId="29" xfId="10" applyFont="1" applyFill="1" applyBorder="1" applyAlignment="1"/>
    <xf numFmtId="0" fontId="50" fillId="0" borderId="29" xfId="10" applyFont="1" applyFill="1" applyBorder="1" applyAlignment="1"/>
    <xf numFmtId="0" fontId="29" fillId="2" borderId="38" xfId="10" applyFont="1" applyFill="1" applyBorder="1" applyAlignment="1">
      <alignment horizontal="center"/>
    </xf>
    <xf numFmtId="0" fontId="29" fillId="2" borderId="39" xfId="10" applyFont="1" applyFill="1" applyBorder="1" applyAlignment="1">
      <alignment horizontal="center"/>
    </xf>
    <xf numFmtId="0" fontId="29" fillId="2" borderId="40" xfId="10" applyFont="1" applyFill="1" applyBorder="1" applyAlignment="1">
      <alignment horizontal="center"/>
    </xf>
    <xf numFmtId="0" fontId="87" fillId="0" borderId="0" xfId="12" applyFont="1" applyAlignment="1">
      <alignment horizontal="center" wrapText="1"/>
    </xf>
    <xf numFmtId="0" fontId="88" fillId="0" borderId="0" xfId="1" applyFont="1" applyFill="1" applyAlignment="1">
      <alignment horizontal="center"/>
    </xf>
    <xf numFmtId="165" fontId="88" fillId="0" borderId="10" xfId="1" applyNumberFormat="1" applyFont="1" applyFill="1" applyBorder="1" applyAlignment="1">
      <alignment horizontal="left"/>
    </xf>
    <xf numFmtId="0" fontId="9" fillId="0" borderId="0" xfId="5" applyFont="1" applyFill="1" applyAlignment="1">
      <alignment horizontal="left"/>
    </xf>
    <xf numFmtId="0" fontId="5" fillId="0" borderId="0" xfId="5" applyFill="1" applyAlignment="1">
      <alignment horizontal="left"/>
    </xf>
    <xf numFmtId="0" fontId="25" fillId="0" borderId="1" xfId="5" applyFont="1" applyFill="1" applyBorder="1" applyAlignment="1">
      <alignment horizontal="center" vertical="center" wrapText="1"/>
    </xf>
    <xf numFmtId="0" fontId="9" fillId="0" borderId="0" xfId="5" applyFont="1" applyFill="1"/>
    <xf numFmtId="0" fontId="21" fillId="0" borderId="0" xfId="5" applyFont="1" applyFill="1" applyBorder="1" applyAlignment="1">
      <alignment horizontal="right"/>
    </xf>
    <xf numFmtId="0" fontId="21" fillId="0" borderId="0" xfId="5" applyFont="1" applyFill="1"/>
    <xf numFmtId="0" fontId="28" fillId="0" borderId="1" xfId="5" applyFont="1" applyFill="1" applyBorder="1" applyAlignment="1">
      <alignment horizontal="center" wrapText="1"/>
    </xf>
    <xf numFmtId="0" fontId="9" fillId="0" borderId="12" xfId="10" applyFont="1" applyBorder="1" applyAlignment="1">
      <alignment vertical="center" wrapText="1"/>
    </xf>
    <xf numFmtId="3" fontId="9" fillId="0" borderId="1" xfId="10" applyNumberFormat="1" applyFont="1" applyBorder="1" applyAlignment="1">
      <alignment horizontal="right" vertical="center"/>
    </xf>
    <xf numFmtId="0" fontId="9" fillId="0" borderId="1" xfId="10" applyFont="1" applyBorder="1" applyAlignment="1">
      <alignment horizontal="right" vertical="center"/>
    </xf>
    <xf numFmtId="0" fontId="9" fillId="0" borderId="1" xfId="5" quotePrefix="1" applyNumberFormat="1" applyFont="1" applyFill="1" applyBorder="1" applyAlignment="1">
      <alignment horizontal="center"/>
    </xf>
    <xf numFmtId="0" fontId="9" fillId="0" borderId="3" xfId="5" quotePrefix="1" applyNumberFormat="1" applyFont="1" applyFill="1" applyBorder="1" applyAlignment="1">
      <alignment horizontal="center"/>
    </xf>
    <xf numFmtId="0" fontId="92" fillId="0" borderId="1" xfId="5" applyFont="1" applyFill="1" applyBorder="1" applyAlignment="1">
      <alignment horizontal="center" wrapText="1"/>
    </xf>
    <xf numFmtId="0" fontId="92" fillId="0" borderId="1" xfId="5" applyFont="1" applyFill="1" applyBorder="1" applyAlignment="1">
      <alignment horizontal="center"/>
    </xf>
    <xf numFmtId="0" fontId="9" fillId="0" borderId="0" xfId="5" applyFont="1" applyFill="1" applyBorder="1"/>
    <xf numFmtId="0" fontId="11" fillId="0" borderId="3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/>
    </xf>
    <xf numFmtId="0" fontId="10" fillId="0" borderId="17" xfId="5" applyFont="1" applyFill="1" applyBorder="1" applyAlignment="1">
      <alignment horizontal="center"/>
    </xf>
    <xf numFmtId="0" fontId="9" fillId="0" borderId="17" xfId="5" applyFont="1" applyFill="1" applyBorder="1"/>
    <xf numFmtId="0" fontId="9" fillId="0" borderId="0" xfId="5" applyFont="1" applyFill="1" applyBorder="1" applyAlignment="1">
      <alignment horizontal="right"/>
    </xf>
    <xf numFmtId="0" fontId="31" fillId="0" borderId="9" xfId="10" applyBorder="1"/>
    <xf numFmtId="0" fontId="66" fillId="0" borderId="1" xfId="10" applyFont="1" applyBorder="1" applyAlignment="1">
      <alignment wrapText="1"/>
    </xf>
    <xf numFmtId="0" fontId="66" fillId="0" borderId="1" xfId="10" applyFont="1" applyBorder="1" applyAlignment="1">
      <alignment horizontal="center" wrapText="1"/>
    </xf>
    <xf numFmtId="0" fontId="27" fillId="0" borderId="9" xfId="10" applyFont="1" applyBorder="1" applyAlignment="1">
      <alignment horizontal="center" vertical="center" wrapText="1"/>
    </xf>
    <xf numFmtId="0" fontId="27" fillId="0" borderId="41" xfId="10" applyFont="1" applyBorder="1" applyAlignment="1">
      <alignment horizontal="center" vertical="center" wrapText="1"/>
    </xf>
    <xf numFmtId="0" fontId="27" fillId="0" borderId="6" xfId="10" applyFont="1" applyBorder="1" applyAlignment="1">
      <alignment horizontal="center" vertical="center" wrapText="1"/>
    </xf>
    <xf numFmtId="3" fontId="29" fillId="0" borderId="21" xfId="15" applyNumberFormat="1" applyFont="1" applyFill="1" applyBorder="1" applyAlignment="1">
      <alignment horizontal="center" wrapText="1"/>
    </xf>
    <xf numFmtId="0" fontId="14" fillId="0" borderId="1" xfId="5" applyFont="1" applyFill="1" applyBorder="1" applyAlignment="1">
      <alignment vertical="center" wrapText="1"/>
    </xf>
    <xf numFmtId="0" fontId="88" fillId="0" borderId="0" xfId="1" applyFont="1" applyFill="1" applyAlignment="1">
      <alignment horizontal="left"/>
    </xf>
    <xf numFmtId="0" fontId="28" fillId="0" borderId="3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/>
    </xf>
    <xf numFmtId="0" fontId="28" fillId="0" borderId="3" xfId="5" applyFont="1" applyFill="1" applyBorder="1" applyAlignment="1">
      <alignment horizontal="center" wrapText="1"/>
    </xf>
    <xf numFmtId="0" fontId="28" fillId="0" borderId="13" xfId="5" applyFont="1" applyFill="1" applyBorder="1" applyAlignment="1">
      <alignment horizontal="center"/>
    </xf>
    <xf numFmtId="0" fontId="24" fillId="0" borderId="8" xfId="5" applyFont="1" applyFill="1" applyBorder="1" applyAlignment="1">
      <alignment horizontal="center"/>
    </xf>
    <xf numFmtId="0" fontId="24" fillId="0" borderId="17" xfId="5" applyFont="1" applyFill="1" applyBorder="1" applyAlignment="1">
      <alignment horizontal="center"/>
    </xf>
    <xf numFmtId="3" fontId="9" fillId="0" borderId="15" xfId="10" applyNumberFormat="1" applyFont="1" applyBorder="1" applyAlignment="1">
      <alignment horizontal="right" vertical="center" wrapText="1"/>
    </xf>
    <xf numFmtId="0" fontId="2" fillId="0" borderId="0" xfId="5" applyFont="1" applyFill="1" applyAlignment="1">
      <alignment horizontal="left"/>
    </xf>
    <xf numFmtId="165" fontId="13" fillId="0" borderId="1" xfId="1" applyNumberFormat="1" applyFont="1" applyFill="1" applyBorder="1" applyAlignment="1">
      <alignment horizontal="center" vertical="center" wrapText="1"/>
    </xf>
    <xf numFmtId="3" fontId="29" fillId="0" borderId="1" xfId="5" applyNumberFormat="1" applyFont="1" applyFill="1" applyBorder="1" applyAlignment="1">
      <alignment horizontal="right" vertical="center"/>
    </xf>
    <xf numFmtId="3" fontId="29" fillId="0" borderId="1" xfId="5" applyNumberFormat="1" applyFont="1" applyFill="1" applyBorder="1"/>
    <xf numFmtId="3" fontId="15" fillId="0" borderId="42" xfId="10" applyNumberFormat="1" applyFont="1" applyFill="1" applyBorder="1" applyAlignment="1" applyProtection="1">
      <alignment horizontal="center" vertical="center" wrapText="1"/>
      <protection locked="0"/>
    </xf>
    <xf numFmtId="165" fontId="13" fillId="0" borderId="1" xfId="1" applyNumberFormat="1" applyFont="1" applyFill="1" applyBorder="1" applyAlignment="1">
      <alignment horizontal="center" vertical="center" wrapText="1"/>
    </xf>
    <xf numFmtId="3" fontId="84" fillId="0" borderId="0" xfId="5" applyNumberFormat="1" applyFont="1" applyFill="1" applyBorder="1"/>
    <xf numFmtId="3" fontId="15" fillId="0" borderId="0" xfId="5" applyNumberFormat="1" applyFont="1" applyFill="1"/>
    <xf numFmtId="165" fontId="13" fillId="0" borderId="1" xfId="1" applyNumberFormat="1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5" fillId="0" borderId="0" xfId="5" applyFill="1"/>
    <xf numFmtId="172" fontId="9" fillId="0" borderId="0" xfId="5" applyNumberFormat="1" applyFont="1" applyFill="1"/>
    <xf numFmtId="0" fontId="22" fillId="0" borderId="1" xfId="5" applyFont="1" applyFill="1" applyBorder="1" applyAlignment="1">
      <alignment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0" fontId="14" fillId="0" borderId="1" xfId="1" quotePrefix="1" applyFont="1" applyFill="1" applyBorder="1" applyAlignment="1">
      <alignment vertical="center"/>
    </xf>
    <xf numFmtId="0" fontId="20" fillId="0" borderId="1" xfId="5" applyFont="1" applyFill="1" applyBorder="1" applyAlignment="1">
      <alignment horizontal="center" vertical="center" wrapText="1"/>
    </xf>
    <xf numFmtId="3" fontId="29" fillId="0" borderId="1" xfId="10" applyNumberFormat="1" applyFont="1" applyFill="1" applyBorder="1" applyAlignment="1">
      <alignment horizontal="center"/>
    </xf>
    <xf numFmtId="0" fontId="29" fillId="0" borderId="1" xfId="10" applyFont="1" applyFill="1" applyBorder="1" applyAlignment="1">
      <alignment horizontal="center"/>
    </xf>
    <xf numFmtId="0" fontId="29" fillId="0" borderId="15" xfId="10" applyFont="1" applyBorder="1" applyAlignment="1">
      <alignment horizontal="center"/>
    </xf>
    <xf numFmtId="3" fontId="15" fillId="0" borderId="34" xfId="14" applyNumberFormat="1" applyFont="1" applyFill="1" applyBorder="1" applyAlignment="1">
      <alignment horizontal="center" wrapText="1"/>
    </xf>
    <xf numFmtId="3" fontId="15" fillId="0" borderId="42" xfId="15" applyNumberFormat="1" applyFont="1" applyFill="1" applyBorder="1" applyAlignment="1">
      <alignment horizontal="center" wrapText="1"/>
    </xf>
    <xf numFmtId="3" fontId="15" fillId="0" borderId="42" xfId="10" applyNumberFormat="1" applyFont="1" applyFill="1" applyBorder="1" applyAlignment="1" applyProtection="1">
      <alignment horizontal="center" wrapText="1"/>
      <protection locked="0"/>
    </xf>
    <xf numFmtId="3" fontId="15" fillId="0" borderId="42" xfId="10" applyNumberFormat="1" applyFont="1" applyBorder="1" applyAlignment="1">
      <alignment horizontal="center" wrapText="1"/>
    </xf>
    <xf numFmtId="3" fontId="29" fillId="0" borderId="42" xfId="15" applyNumberFormat="1" applyFont="1" applyFill="1" applyBorder="1" applyAlignment="1">
      <alignment horizontal="center" wrapText="1"/>
    </xf>
    <xf numFmtId="3" fontId="15" fillId="0" borderId="42" xfId="15" applyNumberFormat="1" applyFont="1" applyFill="1" applyBorder="1" applyAlignment="1">
      <alignment horizontal="left" wrapText="1"/>
    </xf>
    <xf numFmtId="0" fontId="29" fillId="0" borderId="1" xfId="14" applyFont="1" applyFill="1" applyBorder="1" applyAlignment="1">
      <alignment horizontal="center" wrapText="1"/>
    </xf>
    <xf numFmtId="3" fontId="29" fillId="0" borderId="1" xfId="15" applyNumberFormat="1" applyFont="1" applyFill="1" applyBorder="1" applyAlignment="1">
      <alignment horizontal="center"/>
    </xf>
    <xf numFmtId="0" fontId="15" fillId="0" borderId="1" xfId="14" applyFont="1" applyFill="1" applyBorder="1" applyAlignment="1">
      <alignment horizontal="left" wrapText="1"/>
    </xf>
    <xf numFmtId="3" fontId="15" fillId="0" borderId="1" xfId="15" applyNumberFormat="1" applyFont="1" applyFill="1" applyBorder="1" applyAlignment="1">
      <alignment horizontal="center"/>
    </xf>
    <xf numFmtId="3" fontId="15" fillId="0" borderId="4" xfId="10" applyNumberFormat="1" applyFont="1" applyBorder="1" applyAlignment="1">
      <alignment horizontal="right"/>
    </xf>
    <xf numFmtId="3" fontId="29" fillId="0" borderId="5" xfId="10" applyNumberFormat="1" applyFont="1" applyFill="1" applyBorder="1"/>
    <xf numFmtId="3" fontId="29" fillId="0" borderId="16" xfId="10" applyNumberFormat="1" applyFont="1" applyBorder="1"/>
    <xf numFmtId="3" fontId="15" fillId="0" borderId="18" xfId="10" applyNumberFormat="1" applyFont="1" applyBorder="1" applyAlignment="1">
      <alignment horizontal="right"/>
    </xf>
    <xf numFmtId="3" fontId="29" fillId="0" borderId="9" xfId="10" applyNumberFormat="1" applyFont="1" applyFill="1" applyBorder="1"/>
    <xf numFmtId="3" fontId="15" fillId="0" borderId="9" xfId="10" applyNumberFormat="1" applyFont="1" applyFill="1" applyBorder="1"/>
    <xf numFmtId="3" fontId="15" fillId="0" borderId="19" xfId="10" applyNumberFormat="1" applyFont="1" applyBorder="1"/>
    <xf numFmtId="3" fontId="0" fillId="0" borderId="1" xfId="5" applyNumberFormat="1" applyFont="1" applyFill="1" applyBorder="1" applyAlignment="1">
      <alignment horizontal="right" vertical="center" wrapText="1"/>
    </xf>
    <xf numFmtId="173" fontId="9" fillId="0" borderId="1" xfId="1" applyNumberFormat="1" applyFont="1" applyFill="1" applyBorder="1" applyAlignment="1">
      <alignment horizontal="center" vertical="center" wrapText="1"/>
    </xf>
    <xf numFmtId="174" fontId="36" fillId="0" borderId="0" xfId="1" applyNumberFormat="1" applyFont="1" applyFill="1"/>
    <xf numFmtId="0" fontId="68" fillId="0" borderId="34" xfId="10" applyFont="1" applyFill="1" applyBorder="1" applyAlignment="1">
      <alignment horizontal="center" wrapText="1"/>
    </xf>
    <xf numFmtId="0" fontId="25" fillId="0" borderId="1" xfId="5" applyFont="1" applyFill="1" applyBorder="1" applyAlignment="1">
      <alignment horizontal="center" vertical="center" wrapText="1"/>
    </xf>
    <xf numFmtId="0" fontId="18" fillId="0" borderId="0" xfId="5" applyFont="1" applyFill="1" applyBorder="1" applyAlignment="1">
      <alignment horizontal="center" vertical="center"/>
    </xf>
    <xf numFmtId="0" fontId="5" fillId="0" borderId="0" xfId="5" applyFill="1"/>
    <xf numFmtId="0" fontId="31" fillId="0" borderId="0" xfId="10" applyFont="1" applyFill="1" applyBorder="1" applyAlignment="1">
      <alignment horizontal="right"/>
    </xf>
    <xf numFmtId="0" fontId="29" fillId="0" borderId="35" xfId="10" applyFont="1" applyFill="1" applyBorder="1" applyAlignment="1">
      <alignment horizontal="center"/>
    </xf>
    <xf numFmtId="0" fontId="29" fillId="2" borderId="18" xfId="10" applyFont="1" applyFill="1" applyBorder="1" applyAlignment="1">
      <alignment horizontal="center"/>
    </xf>
    <xf numFmtId="0" fontId="29" fillId="2" borderId="9" xfId="10" applyFont="1" applyFill="1" applyBorder="1" applyAlignment="1">
      <alignment horizontal="center"/>
    </xf>
    <xf numFmtId="0" fontId="29" fillId="2" borderId="19" xfId="10" applyFont="1" applyFill="1" applyBorder="1" applyAlignment="1">
      <alignment horizontal="center"/>
    </xf>
    <xf numFmtId="0" fontId="61" fillId="0" borderId="2" xfId="10" applyFont="1" applyBorder="1" applyAlignment="1">
      <alignment horizontal="center"/>
    </xf>
    <xf numFmtId="3" fontId="27" fillId="0" borderId="15" xfId="10" applyNumberFormat="1" applyFont="1" applyBorder="1" applyAlignment="1">
      <alignment horizontal="center"/>
    </xf>
    <xf numFmtId="0" fontId="61" fillId="0" borderId="2" xfId="10" applyFont="1" applyFill="1" applyBorder="1" applyAlignment="1">
      <alignment horizontal="right" vertical="center"/>
    </xf>
    <xf numFmtId="3" fontId="30" fillId="0" borderId="15" xfId="10" applyNumberFormat="1" applyFont="1" applyBorder="1" applyAlignment="1">
      <alignment vertical="center"/>
    </xf>
    <xf numFmtId="0" fontId="30" fillId="0" borderId="22" xfId="10" applyFont="1" applyFill="1" applyBorder="1" applyAlignment="1">
      <alignment horizontal="center"/>
    </xf>
    <xf numFmtId="0" fontId="27" fillId="0" borderId="20" xfId="10" applyFont="1" applyFill="1" applyBorder="1"/>
    <xf numFmtId="3" fontId="27" fillId="0" borderId="20" xfId="10" applyNumberFormat="1" applyFont="1" applyFill="1" applyBorder="1" applyAlignment="1">
      <alignment horizontal="right"/>
    </xf>
    <xf numFmtId="3" fontId="27" fillId="0" borderId="21" xfId="10" applyNumberFormat="1" applyFont="1" applyFill="1" applyBorder="1" applyAlignment="1">
      <alignment horizontal="right"/>
    </xf>
    <xf numFmtId="0" fontId="50" fillId="0" borderId="22" xfId="10" applyFont="1" applyFill="1" applyBorder="1" applyAlignment="1">
      <alignment horizontal="center"/>
    </xf>
    <xf numFmtId="0" fontId="31" fillId="0" borderId="20" xfId="10" applyBorder="1" applyAlignment="1">
      <alignment horizontal="right"/>
    </xf>
    <xf numFmtId="0" fontId="31" fillId="0" borderId="0" xfId="10" applyAlignment="1">
      <alignment horizontal="right"/>
    </xf>
    <xf numFmtId="0" fontId="50" fillId="2" borderId="0" xfId="10" applyFont="1" applyFill="1" applyBorder="1" applyAlignment="1">
      <alignment horizontal="left"/>
    </xf>
    <xf numFmtId="1" fontId="14" fillId="0" borderId="1" xfId="1" applyNumberFormat="1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68" fillId="0" borderId="35" xfId="10" applyFont="1" applyBorder="1" applyAlignment="1">
      <alignment horizontal="center" wrapText="1"/>
    </xf>
    <xf numFmtId="3" fontId="9" fillId="2" borderId="1" xfId="5" applyNumberFormat="1" applyFont="1" applyFill="1" applyBorder="1" applyAlignment="1">
      <alignment horizontal="center" vertical="center" wrapText="1"/>
    </xf>
    <xf numFmtId="3" fontId="14" fillId="0" borderId="1" xfId="5" applyNumberFormat="1" applyFont="1" applyFill="1" applyBorder="1" applyAlignment="1">
      <alignment horizontal="center" vertical="center" wrapText="1"/>
    </xf>
    <xf numFmtId="3" fontId="15" fillId="0" borderId="43" xfId="10" applyNumberFormat="1" applyFont="1" applyFill="1" applyBorder="1" applyAlignment="1">
      <alignment horizontal="center"/>
    </xf>
    <xf numFmtId="3" fontId="69" fillId="0" borderId="0" xfId="10" applyNumberFormat="1" applyFont="1"/>
    <xf numFmtId="165" fontId="13" fillId="0" borderId="1" xfId="1" applyNumberFormat="1" applyFont="1" applyFill="1" applyBorder="1" applyAlignment="1">
      <alignment horizontal="center" vertical="center" wrapText="1"/>
    </xf>
    <xf numFmtId="3" fontId="14" fillId="0" borderId="0" xfId="1" applyNumberFormat="1" applyFont="1" applyFill="1"/>
    <xf numFmtId="3" fontId="13" fillId="0" borderId="0" xfId="1" applyNumberFormat="1" applyFont="1" applyFill="1" applyBorder="1"/>
    <xf numFmtId="3" fontId="5" fillId="0" borderId="0" xfId="5" applyNumberFormat="1" applyFill="1" applyBorder="1"/>
    <xf numFmtId="3" fontId="15" fillId="0" borderId="8" xfId="10" applyNumberFormat="1" applyFont="1" applyFill="1" applyBorder="1"/>
    <xf numFmtId="0" fontId="44" fillId="0" borderId="0" xfId="12" applyAlignment="1">
      <alignment wrapText="1"/>
    </xf>
    <xf numFmtId="49" fontId="8" fillId="0" borderId="0" xfId="12" applyNumberFormat="1" applyFont="1" applyAlignment="1">
      <alignment horizontal="center"/>
    </xf>
    <xf numFmtId="49" fontId="8" fillId="0" borderId="0" xfId="12" applyNumberFormat="1" applyFont="1" applyAlignment="1">
      <alignment horizontal="center" vertical="center"/>
    </xf>
    <xf numFmtId="0" fontId="47" fillId="0" borderId="0" xfId="12" applyFont="1" applyAlignment="1">
      <alignment horizontal="left"/>
    </xf>
    <xf numFmtId="0" fontId="87" fillId="0" borderId="0" xfId="12" applyFont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165" fontId="13" fillId="0" borderId="8" xfId="1" applyNumberFormat="1" applyFont="1" applyFill="1" applyBorder="1" applyAlignment="1">
      <alignment horizontal="center" vertical="center" wrapText="1"/>
    </xf>
    <xf numFmtId="165" fontId="13" fillId="0" borderId="12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wrapText="1"/>
    </xf>
    <xf numFmtId="0" fontId="9" fillId="0" borderId="0" xfId="5" applyFont="1" applyFill="1" applyAlignment="1">
      <alignment horizontal="left"/>
    </xf>
    <xf numFmtId="0" fontId="9" fillId="0" borderId="0" xfId="5" applyFont="1" applyFill="1" applyBorder="1" applyAlignment="1">
      <alignment horizontal="right"/>
    </xf>
    <xf numFmtId="0" fontId="18" fillId="0" borderId="0" xfId="5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1" xfId="5" applyFont="1" applyFill="1" applyBorder="1" applyAlignment="1">
      <alignment horizontal="center"/>
    </xf>
    <xf numFmtId="0" fontId="2" fillId="0" borderId="0" xfId="5" applyFont="1" applyFill="1"/>
    <xf numFmtId="0" fontId="5" fillId="0" borderId="0" xfId="5" applyFill="1"/>
    <xf numFmtId="0" fontId="20" fillId="0" borderId="8" xfId="5" applyFont="1" applyFill="1" applyBorder="1" applyAlignment="1">
      <alignment horizontal="center" vertical="center" wrapText="1"/>
    </xf>
    <xf numFmtId="0" fontId="20" fillId="0" borderId="12" xfId="5" applyFont="1" applyFill="1" applyBorder="1" applyAlignment="1">
      <alignment horizontal="center" vertical="center" wrapText="1"/>
    </xf>
    <xf numFmtId="0" fontId="18" fillId="0" borderId="8" xfId="5" applyFont="1" applyFill="1" applyBorder="1" applyAlignment="1">
      <alignment horizontal="center"/>
    </xf>
    <xf numFmtId="0" fontId="18" fillId="0" borderId="12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0" fontId="5" fillId="0" borderId="0" xfId="5" applyFill="1" applyBorder="1" applyAlignment="1">
      <alignment horizontal="left"/>
    </xf>
    <xf numFmtId="0" fontId="28" fillId="0" borderId="7" xfId="5" applyFont="1" applyFill="1" applyBorder="1" applyAlignment="1">
      <alignment horizontal="center"/>
    </xf>
    <xf numFmtId="0" fontId="28" fillId="0" borderId="13" xfId="5" applyFont="1" applyFill="1" applyBorder="1" applyAlignment="1">
      <alignment horizontal="center"/>
    </xf>
    <xf numFmtId="0" fontId="28" fillId="0" borderId="8" xfId="5" applyFont="1" applyFill="1" applyBorder="1" applyAlignment="1">
      <alignment horizontal="center" vertical="center" wrapText="1"/>
    </xf>
    <xf numFmtId="0" fontId="28" fillId="0" borderId="12" xfId="5" applyFont="1" applyFill="1" applyBorder="1" applyAlignment="1">
      <alignment horizontal="center" vertical="center" wrapText="1"/>
    </xf>
    <xf numFmtId="0" fontId="21" fillId="0" borderId="0" xfId="5" applyFont="1" applyFill="1" applyAlignment="1">
      <alignment horizontal="left"/>
    </xf>
    <xf numFmtId="0" fontId="25" fillId="0" borderId="12" xfId="5" applyFont="1" applyFill="1" applyBorder="1" applyAlignment="1">
      <alignment horizontal="center" vertical="center" wrapText="1"/>
    </xf>
    <xf numFmtId="0" fontId="25" fillId="0" borderId="1" xfId="5" applyFont="1" applyFill="1" applyBorder="1" applyAlignment="1">
      <alignment horizontal="center" vertical="center"/>
    </xf>
    <xf numFmtId="0" fontId="21" fillId="0" borderId="0" xfId="5" applyFont="1" applyFill="1" applyBorder="1" applyAlignment="1">
      <alignment horizontal="right"/>
    </xf>
    <xf numFmtId="0" fontId="11" fillId="0" borderId="3" xfId="5" applyFont="1" applyFill="1" applyBorder="1" applyAlignment="1">
      <alignment horizontal="center" vertical="center"/>
    </xf>
    <xf numFmtId="0" fontId="11" fillId="0" borderId="7" xfId="5" applyFont="1" applyFill="1" applyBorder="1" applyAlignment="1">
      <alignment horizontal="center" vertical="center"/>
    </xf>
    <xf numFmtId="0" fontId="11" fillId="0" borderId="13" xfId="5" applyFont="1" applyFill="1" applyBorder="1" applyAlignment="1">
      <alignment horizontal="center" vertical="center"/>
    </xf>
    <xf numFmtId="0" fontId="21" fillId="0" borderId="10" xfId="5" applyFont="1" applyFill="1" applyBorder="1" applyAlignment="1"/>
    <xf numFmtId="0" fontId="11" fillId="0" borderId="17" xfId="5" applyFont="1" applyFill="1" applyBorder="1" applyAlignment="1">
      <alignment horizontal="center" vertical="center" wrapText="1"/>
    </xf>
    <xf numFmtId="0" fontId="11" fillId="0" borderId="17" xfId="5" applyFont="1" applyFill="1" applyBorder="1" applyAlignment="1">
      <alignment horizontal="center" vertical="center"/>
    </xf>
    <xf numFmtId="0" fontId="13" fillId="0" borderId="8" xfId="5" applyFont="1" applyFill="1" applyBorder="1" applyAlignment="1">
      <alignment horizontal="center" vertical="center" wrapText="1"/>
    </xf>
    <xf numFmtId="0" fontId="13" fillId="0" borderId="12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25" fillId="0" borderId="1" xfId="5" applyFont="1" applyFill="1" applyBorder="1" applyAlignment="1">
      <alignment horizontal="center" vertical="center" wrapText="1"/>
    </xf>
    <xf numFmtId="0" fontId="21" fillId="0" borderId="0" xfId="5" applyFont="1" applyFill="1" applyBorder="1" applyAlignment="1">
      <alignment horizontal="left"/>
    </xf>
    <xf numFmtId="0" fontId="25" fillId="0" borderId="0" xfId="5" applyFont="1" applyFill="1" applyBorder="1" applyAlignment="1">
      <alignment horizontal="center" vertical="center" wrapText="1"/>
    </xf>
    <xf numFmtId="0" fontId="25" fillId="0" borderId="14" xfId="5" applyFont="1" applyFill="1" applyBorder="1" applyAlignment="1">
      <alignment horizontal="center" vertical="center" wrapText="1"/>
    </xf>
    <xf numFmtId="0" fontId="28" fillId="0" borderId="1" xfId="5" applyFont="1" applyFill="1" applyBorder="1" applyAlignment="1">
      <alignment horizontal="center" vertical="center"/>
    </xf>
    <xf numFmtId="0" fontId="28" fillId="0" borderId="1" xfId="5" applyFont="1" applyFill="1" applyBorder="1" applyAlignment="1">
      <alignment horizontal="center" wrapText="1"/>
    </xf>
    <xf numFmtId="3" fontId="15" fillId="0" borderId="33" xfId="10" applyNumberFormat="1" applyFont="1" applyFill="1" applyBorder="1" applyAlignment="1">
      <alignment horizontal="center"/>
    </xf>
    <xf numFmtId="3" fontId="15" fillId="0" borderId="32" xfId="10" applyNumberFormat="1" applyFont="1" applyFill="1" applyBorder="1" applyAlignment="1">
      <alignment horizontal="center"/>
    </xf>
    <xf numFmtId="3" fontId="15" fillId="0" borderId="31" xfId="10" applyNumberFormat="1" applyFont="1" applyFill="1" applyBorder="1" applyAlignment="1">
      <alignment horizontal="center"/>
    </xf>
    <xf numFmtId="3" fontId="15" fillId="0" borderId="7" xfId="10" applyNumberFormat="1" applyFont="1" applyFill="1" applyBorder="1" applyAlignment="1">
      <alignment horizontal="center"/>
    </xf>
    <xf numFmtId="3" fontId="15" fillId="0" borderId="10" xfId="10" applyNumberFormat="1" applyFont="1" applyFill="1" applyBorder="1" applyAlignment="1">
      <alignment horizontal="center"/>
    </xf>
    <xf numFmtId="3" fontId="15" fillId="0" borderId="13" xfId="10" applyNumberFormat="1" applyFont="1" applyFill="1" applyBorder="1" applyAlignment="1">
      <alignment horizontal="center"/>
    </xf>
    <xf numFmtId="0" fontId="15" fillId="2" borderId="29" xfId="10" applyFont="1" applyFill="1" applyBorder="1" applyAlignment="1">
      <alignment horizontal="right"/>
    </xf>
    <xf numFmtId="3" fontId="15" fillId="0" borderId="18" xfId="10" applyNumberFormat="1" applyFont="1" applyFill="1" applyBorder="1" applyAlignment="1">
      <alignment vertical="center"/>
    </xf>
    <xf numFmtId="3" fontId="15" fillId="0" borderId="2" xfId="10" applyNumberFormat="1" applyFont="1" applyFill="1" applyBorder="1" applyAlignment="1">
      <alignment vertical="center"/>
    </xf>
    <xf numFmtId="3" fontId="29" fillId="0" borderId="9" xfId="10" applyNumberFormat="1" applyFont="1" applyFill="1" applyBorder="1" applyAlignment="1">
      <alignment horizontal="center"/>
    </xf>
    <xf numFmtId="3" fontId="29" fillId="0" borderId="19" xfId="10" applyNumberFormat="1" applyFont="1" applyFill="1" applyBorder="1" applyAlignment="1">
      <alignment horizontal="center"/>
    </xf>
    <xf numFmtId="0" fontId="15" fillId="2" borderId="23" xfId="10" applyFont="1" applyFill="1" applyBorder="1" applyAlignment="1">
      <alignment horizontal="center" wrapText="1"/>
    </xf>
    <xf numFmtId="0" fontId="15" fillId="2" borderId="0" xfId="10" applyFont="1" applyFill="1" applyBorder="1" applyAlignment="1">
      <alignment horizontal="center" wrapText="1"/>
    </xf>
    <xf numFmtId="0" fontId="15" fillId="2" borderId="24" xfId="10" applyFont="1" applyFill="1" applyBorder="1" applyAlignment="1">
      <alignment horizontal="right" wrapText="1"/>
    </xf>
    <xf numFmtId="0" fontId="15" fillId="2" borderId="25" xfId="10" applyFont="1" applyFill="1" applyBorder="1" applyAlignment="1">
      <alignment horizontal="right" wrapText="1"/>
    </xf>
    <xf numFmtId="0" fontId="51" fillId="2" borderId="26" xfId="10" applyFont="1" applyFill="1" applyBorder="1" applyAlignment="1">
      <alignment horizontal="center" wrapText="1"/>
    </xf>
    <xf numFmtId="0" fontId="51" fillId="2" borderId="27" xfId="10" applyFont="1" applyFill="1" applyBorder="1" applyAlignment="1">
      <alignment horizontal="center" wrapText="1"/>
    </xf>
    <xf numFmtId="0" fontId="15" fillId="2" borderId="24" xfId="10" applyFont="1" applyFill="1" applyBorder="1" applyAlignment="1">
      <alignment horizontal="center" wrapText="1"/>
    </xf>
    <xf numFmtId="0" fontId="15" fillId="2" borderId="25" xfId="10" applyFont="1" applyFill="1" applyBorder="1" applyAlignment="1">
      <alignment horizontal="center" wrapText="1"/>
    </xf>
    <xf numFmtId="0" fontId="15" fillId="2" borderId="23" xfId="10" applyFont="1" applyFill="1" applyBorder="1" applyAlignment="1">
      <alignment horizontal="right" wrapText="1"/>
    </xf>
    <xf numFmtId="0" fontId="15" fillId="2" borderId="0" xfId="10" applyFont="1" applyFill="1" applyBorder="1" applyAlignment="1">
      <alignment horizontal="right" wrapText="1"/>
    </xf>
    <xf numFmtId="0" fontId="51" fillId="2" borderId="23" xfId="10" applyFont="1" applyFill="1" applyBorder="1" applyAlignment="1">
      <alignment horizontal="center" wrapText="1"/>
    </xf>
    <xf numFmtId="0" fontId="51" fillId="2" borderId="0" xfId="10" applyFont="1" applyFill="1" applyBorder="1" applyAlignment="1">
      <alignment horizontal="center" wrapText="1"/>
    </xf>
    <xf numFmtId="0" fontId="15" fillId="2" borderId="0" xfId="10" applyFont="1" applyFill="1" applyBorder="1" applyAlignment="1">
      <alignment horizontal="right"/>
    </xf>
    <xf numFmtId="0" fontId="51" fillId="2" borderId="30" xfId="10" applyFont="1" applyFill="1" applyBorder="1" applyAlignment="1">
      <alignment horizontal="center" wrapText="1"/>
    </xf>
    <xf numFmtId="0" fontId="51" fillId="2" borderId="29" xfId="10" applyFont="1" applyFill="1" applyBorder="1" applyAlignment="1">
      <alignment horizontal="center" wrapText="1"/>
    </xf>
    <xf numFmtId="0" fontId="15" fillId="2" borderId="11" xfId="10" applyFont="1" applyFill="1" applyBorder="1" applyAlignment="1">
      <alignment horizontal="right"/>
    </xf>
    <xf numFmtId="3" fontId="21" fillId="0" borderId="1" xfId="17" applyNumberFormat="1" applyFont="1" applyBorder="1" applyAlignment="1">
      <alignment horizontal="right"/>
    </xf>
    <xf numFmtId="0" fontId="16" fillId="0" borderId="1" xfId="10" applyFont="1" applyBorder="1" applyAlignment="1"/>
    <xf numFmtId="0" fontId="16" fillId="0" borderId="15" xfId="10" applyFont="1" applyBorder="1" applyAlignment="1"/>
    <xf numFmtId="0" fontId="50" fillId="2" borderId="0" xfId="10" applyFont="1" applyFill="1" applyBorder="1" applyAlignment="1">
      <alignment horizontal="center" vertical="center" wrapText="1"/>
    </xf>
    <xf numFmtId="0" fontId="50" fillId="2" borderId="27" xfId="10" applyFont="1" applyFill="1" applyBorder="1" applyAlignment="1">
      <alignment horizontal="right" wrapText="1"/>
    </xf>
    <xf numFmtId="0" fontId="9" fillId="0" borderId="1" xfId="10" applyFont="1" applyBorder="1" applyAlignment="1">
      <alignment vertical="center"/>
    </xf>
    <xf numFmtId="0" fontId="9" fillId="0" borderId="15" xfId="10" applyFont="1" applyBorder="1" applyAlignment="1">
      <alignment vertical="center"/>
    </xf>
    <xf numFmtId="0" fontId="51" fillId="2" borderId="8" xfId="10" applyFont="1" applyFill="1" applyBorder="1" applyAlignment="1">
      <alignment horizontal="center" wrapText="1"/>
    </xf>
    <xf numFmtId="0" fontId="51" fillId="2" borderId="17" xfId="10" applyFont="1" applyFill="1" applyBorder="1" applyAlignment="1">
      <alignment horizontal="center" wrapText="1"/>
    </xf>
    <xf numFmtId="0" fontId="51" fillId="2" borderId="12" xfId="10" applyFont="1" applyFill="1" applyBorder="1" applyAlignment="1">
      <alignment horizontal="center" wrapText="1"/>
    </xf>
    <xf numFmtId="3" fontId="82" fillId="0" borderId="33" xfId="18" applyNumberFormat="1" applyFont="1" applyBorder="1" applyAlignment="1">
      <alignment horizontal="left"/>
    </xf>
    <xf numFmtId="3" fontId="82" fillId="0" borderId="32" xfId="18" applyNumberFormat="1" applyFont="1" applyBorder="1" applyAlignment="1">
      <alignment horizontal="left"/>
    </xf>
    <xf numFmtId="3" fontId="82" fillId="0" borderId="31" xfId="18" applyNumberFormat="1" applyFont="1" applyBorder="1" applyAlignment="1">
      <alignment horizontal="left"/>
    </xf>
    <xf numFmtId="3" fontId="82" fillId="0" borderId="7" xfId="18" applyNumberFormat="1" applyFont="1" applyBorder="1" applyAlignment="1">
      <alignment horizontal="left"/>
    </xf>
    <xf numFmtId="3" fontId="82" fillId="0" borderId="10" xfId="18" applyNumberFormat="1" applyFont="1" applyBorder="1" applyAlignment="1">
      <alignment horizontal="left"/>
    </xf>
    <xf numFmtId="3" fontId="82" fillId="0" borderId="13" xfId="18" applyNumberFormat="1" applyFont="1" applyBorder="1" applyAlignment="1">
      <alignment horizontal="left"/>
    </xf>
    <xf numFmtId="3" fontId="80" fillId="0" borderId="8" xfId="18" applyNumberFormat="1" applyFont="1" applyBorder="1" applyAlignment="1">
      <alignment horizontal="center"/>
    </xf>
    <xf numFmtId="3" fontId="80" fillId="0" borderId="17" xfId="18" applyNumberFormat="1" applyFont="1" applyBorder="1" applyAlignment="1">
      <alignment horizontal="center"/>
    </xf>
    <xf numFmtId="3" fontId="80" fillId="0" borderId="12" xfId="18" applyNumberFormat="1" applyFont="1" applyBorder="1" applyAlignment="1">
      <alignment horizontal="center"/>
    </xf>
    <xf numFmtId="0" fontId="89" fillId="2" borderId="10" xfId="10" applyFont="1" applyFill="1" applyBorder="1" applyAlignment="1">
      <alignment horizontal="center"/>
    </xf>
    <xf numFmtId="0" fontId="90" fillId="2" borderId="10" xfId="10" applyFont="1" applyFill="1" applyBorder="1" applyAlignment="1">
      <alignment horizontal="center"/>
    </xf>
    <xf numFmtId="3" fontId="83" fillId="0" borderId="8" xfId="18" applyNumberFormat="1" applyFont="1" applyBorder="1" applyAlignment="1">
      <alignment horizontal="center"/>
    </xf>
    <xf numFmtId="3" fontId="83" fillId="0" borderId="17" xfId="18" applyNumberFormat="1" applyFont="1" applyBorder="1" applyAlignment="1">
      <alignment horizontal="center"/>
    </xf>
    <xf numFmtId="3" fontId="83" fillId="0" borderId="12" xfId="18" applyNumberFormat="1" applyFont="1" applyBorder="1" applyAlignment="1">
      <alignment horizontal="center"/>
    </xf>
  </cellXfs>
  <cellStyles count="20">
    <cellStyle name="Ezres" xfId="11" builtinId="3"/>
    <cellStyle name="Ezres 2" xfId="2" xr:uid="{00000000-0005-0000-0000-000001000000}"/>
    <cellStyle name="Ezres 3" xfId="6" xr:uid="{00000000-0005-0000-0000-000002000000}"/>
    <cellStyle name="Normál" xfId="0" builtinId="0"/>
    <cellStyle name="Normál 2" xfId="1" xr:uid="{00000000-0005-0000-0000-000004000000}"/>
    <cellStyle name="Normál 2 2" xfId="10" xr:uid="{00000000-0005-0000-0000-000005000000}"/>
    <cellStyle name="Normál 3" xfId="3" xr:uid="{00000000-0005-0000-0000-000006000000}"/>
    <cellStyle name="Normál 3 2" xfId="9" xr:uid="{00000000-0005-0000-0000-000007000000}"/>
    <cellStyle name="Normál 4" xfId="5" xr:uid="{00000000-0005-0000-0000-000008000000}"/>
    <cellStyle name="Normál 4 2" xfId="18" xr:uid="{00000000-0005-0000-0000-000009000000}"/>
    <cellStyle name="Normál 5" xfId="7" xr:uid="{00000000-0005-0000-0000-00000A000000}"/>
    <cellStyle name="Normál 6" xfId="8" xr:uid="{00000000-0005-0000-0000-00000B000000}"/>
    <cellStyle name="Normál 7" xfId="12" xr:uid="{00000000-0005-0000-0000-00000C000000}"/>
    <cellStyle name="Normál 8" xfId="19" xr:uid="{00000000-0005-0000-0000-00000D000000}"/>
    <cellStyle name="Normál_Munka15" xfId="17" xr:uid="{00000000-0005-0000-0000-00000E000000}"/>
    <cellStyle name="Normál_Munka4" xfId="15" xr:uid="{00000000-0005-0000-0000-00000F000000}"/>
    <cellStyle name="Normál_Munka5" xfId="14" xr:uid="{00000000-0005-0000-0000-000010000000}"/>
    <cellStyle name="Normál_Munka7" xfId="16" xr:uid="{00000000-0005-0000-0000-000011000000}"/>
    <cellStyle name="Százalék 2" xfId="4" xr:uid="{00000000-0005-0000-0000-000012000000}"/>
    <cellStyle name="Százalék 3" xfId="13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tabSelected="1" topLeftCell="A22" zoomScale="84" zoomScaleNormal="84" workbookViewId="0">
      <selection activeCell="D23" sqref="D23"/>
    </sheetView>
  </sheetViews>
  <sheetFormatPr defaultColWidth="9.140625" defaultRowHeight="12.75" x14ac:dyDescent="0.2"/>
  <cols>
    <col min="1" max="1" width="9.140625" style="153"/>
    <col min="2" max="2" width="52.42578125" style="153" customWidth="1"/>
    <col min="3" max="3" width="18.5703125" style="153" customWidth="1"/>
    <col min="4" max="4" width="17.42578125" style="153" customWidth="1"/>
    <col min="5" max="6" width="11.140625" style="153" bestFit="1" customWidth="1"/>
    <col min="7" max="7" width="9" style="153" customWidth="1"/>
    <col min="8" max="8" width="6" style="153" customWidth="1"/>
    <col min="9" max="9" width="4.140625" style="153" customWidth="1"/>
    <col min="10" max="10" width="4.7109375" style="153" customWidth="1"/>
    <col min="11" max="11" width="3.85546875" style="153" customWidth="1"/>
    <col min="12" max="12" width="4.85546875" style="153" customWidth="1"/>
    <col min="13" max="16384" width="9.140625" style="153"/>
  </cols>
  <sheetData>
    <row r="1" spans="1:14" ht="45.75" customHeight="1" x14ac:dyDescent="0.2">
      <c r="B1" s="725" t="s">
        <v>586</v>
      </c>
      <c r="C1" s="725"/>
      <c r="D1" s="725"/>
    </row>
    <row r="2" spans="1:14" ht="63" customHeight="1" x14ac:dyDescent="0.25">
      <c r="A2" s="198"/>
      <c r="B2" s="729" t="s">
        <v>564</v>
      </c>
      <c r="C2" s="729"/>
      <c r="D2" s="729"/>
      <c r="E2" s="613"/>
      <c r="F2" s="613"/>
      <c r="G2" s="197"/>
      <c r="H2" s="197"/>
      <c r="I2" s="197"/>
      <c r="J2" s="197"/>
      <c r="K2" s="197"/>
      <c r="L2" s="197"/>
      <c r="M2" s="197"/>
      <c r="N2" s="197"/>
    </row>
    <row r="4" spans="1:14" ht="15" x14ac:dyDescent="0.25">
      <c r="A4" s="728" t="s">
        <v>504</v>
      </c>
      <c r="B4" s="728"/>
      <c r="C4" s="728"/>
      <c r="D4" s="728"/>
    </row>
    <row r="5" spans="1:14" x14ac:dyDescent="0.2">
      <c r="D5" s="604" t="s">
        <v>266</v>
      </c>
    </row>
    <row r="6" spans="1:14" x14ac:dyDescent="0.2">
      <c r="A6" s="196" t="s">
        <v>57</v>
      </c>
      <c r="B6" s="192" t="s">
        <v>65</v>
      </c>
      <c r="C6" s="195" t="s">
        <v>58</v>
      </c>
      <c r="D6" s="194" t="s">
        <v>59</v>
      </c>
    </row>
    <row r="7" spans="1:14" ht="25.5" x14ac:dyDescent="0.2">
      <c r="A7" s="193" t="s">
        <v>2</v>
      </c>
      <c r="B7" s="192" t="s">
        <v>0</v>
      </c>
      <c r="C7" s="191" t="s">
        <v>505</v>
      </c>
      <c r="D7" s="191" t="s">
        <v>506</v>
      </c>
    </row>
    <row r="8" spans="1:14" x14ac:dyDescent="0.2">
      <c r="A8" s="156" t="s">
        <v>1</v>
      </c>
      <c r="B8" s="177" t="s">
        <v>585</v>
      </c>
      <c r="C8" s="176">
        <f>SUM(C9:C15)</f>
        <v>632212121</v>
      </c>
      <c r="D8" s="176">
        <f>SUM(D9:D15)</f>
        <v>648597855</v>
      </c>
      <c r="E8" s="154"/>
    </row>
    <row r="9" spans="1:14" ht="21" customHeight="1" x14ac:dyDescent="0.2">
      <c r="A9" s="156" t="s">
        <v>3</v>
      </c>
      <c r="B9" s="190" t="s">
        <v>265</v>
      </c>
      <c r="C9" s="175">
        <v>161898630</v>
      </c>
      <c r="D9" s="175">
        <f>C9</f>
        <v>161898630</v>
      </c>
      <c r="E9" s="154"/>
    </row>
    <row r="10" spans="1:14" x14ac:dyDescent="0.2">
      <c r="A10" s="156" t="s">
        <v>4</v>
      </c>
      <c r="B10" s="174" t="s">
        <v>264</v>
      </c>
      <c r="C10" s="175">
        <v>125976110</v>
      </c>
      <c r="D10" s="175">
        <v>128562270</v>
      </c>
      <c r="E10" s="154"/>
    </row>
    <row r="11" spans="1:14" x14ac:dyDescent="0.2">
      <c r="A11" s="156" t="s">
        <v>5</v>
      </c>
      <c r="B11" s="174" t="s">
        <v>263</v>
      </c>
      <c r="C11" s="175">
        <v>239714870</v>
      </c>
      <c r="D11" s="175">
        <v>264293186</v>
      </c>
    </row>
    <row r="12" spans="1:14" x14ac:dyDescent="0.2">
      <c r="A12" s="156" t="s">
        <v>7</v>
      </c>
      <c r="B12" s="174" t="s">
        <v>262</v>
      </c>
      <c r="C12" s="175">
        <v>52777165</v>
      </c>
      <c r="D12" s="175">
        <v>51623773</v>
      </c>
    </row>
    <row r="13" spans="1:14" x14ac:dyDescent="0.2">
      <c r="A13" s="156" t="s">
        <v>18</v>
      </c>
      <c r="B13" s="174" t="s">
        <v>261</v>
      </c>
      <c r="C13" s="175">
        <v>10611335</v>
      </c>
      <c r="D13" s="175">
        <f>C13</f>
        <v>10611335</v>
      </c>
    </row>
    <row r="14" spans="1:14" x14ac:dyDescent="0.2">
      <c r="A14" s="156" t="s">
        <v>20</v>
      </c>
      <c r="B14" s="174" t="s">
        <v>260</v>
      </c>
      <c r="C14" s="175">
        <f>3610011+37624000</f>
        <v>41234011</v>
      </c>
      <c r="D14" s="175">
        <v>30967663</v>
      </c>
      <c r="E14" s="154"/>
    </row>
    <row r="15" spans="1:14" x14ac:dyDescent="0.2">
      <c r="A15" s="156" t="s">
        <v>21</v>
      </c>
      <c r="B15" s="174" t="s">
        <v>590</v>
      </c>
      <c r="C15" s="175"/>
      <c r="D15" s="175">
        <v>640998</v>
      </c>
    </row>
    <row r="16" spans="1:14" x14ac:dyDescent="0.2">
      <c r="A16" s="156" t="s">
        <v>23</v>
      </c>
      <c r="B16" s="177" t="s">
        <v>10</v>
      </c>
      <c r="C16" s="176">
        <f>SUM(C17:C18)</f>
        <v>16845700</v>
      </c>
      <c r="D16" s="176">
        <f>SUM(D17:D18)</f>
        <v>79624123</v>
      </c>
      <c r="E16" s="154"/>
      <c r="F16" s="154"/>
    </row>
    <row r="17" spans="1:4" x14ac:dyDescent="0.2">
      <c r="A17" s="156" t="s">
        <v>24</v>
      </c>
      <c r="B17" s="174" t="s">
        <v>8</v>
      </c>
      <c r="C17" s="175"/>
      <c r="D17" s="175"/>
    </row>
    <row r="18" spans="1:4" x14ac:dyDescent="0.2">
      <c r="A18" s="156" t="s">
        <v>25</v>
      </c>
      <c r="B18" s="174" t="s">
        <v>194</v>
      </c>
      <c r="C18" s="175">
        <f>'2.melléklet.Önkormányzat.és int'!M45</f>
        <v>16845700</v>
      </c>
      <c r="D18" s="175">
        <f>'2.melléklet.Önkormányzat.és int'!N45</f>
        <v>79624123</v>
      </c>
    </row>
    <row r="19" spans="1:4" x14ac:dyDescent="0.2">
      <c r="A19" s="156" t="s">
        <v>27</v>
      </c>
      <c r="B19" s="174" t="s">
        <v>9</v>
      </c>
      <c r="C19" s="175"/>
      <c r="D19" s="175"/>
    </row>
    <row r="20" spans="1:4" x14ac:dyDescent="0.2">
      <c r="A20" s="156" t="s">
        <v>28</v>
      </c>
      <c r="B20" s="177" t="s">
        <v>13</v>
      </c>
      <c r="C20" s="176">
        <f>SUM(C21:C22)</f>
        <v>30072300</v>
      </c>
      <c r="D20" s="176">
        <f>SUM(D21:D22)</f>
        <v>756383061</v>
      </c>
    </row>
    <row r="21" spans="1:4" x14ac:dyDescent="0.2">
      <c r="A21" s="156" t="s">
        <v>31</v>
      </c>
      <c r="B21" s="174" t="s">
        <v>466</v>
      </c>
      <c r="C21" s="175">
        <f>'2.melléklet.Önkormányzat.és int'!K45</f>
        <v>20000000</v>
      </c>
      <c r="D21" s="175">
        <f>'2.melléklet.Önkormányzat.és int'!L45</f>
        <v>20000000</v>
      </c>
    </row>
    <row r="22" spans="1:4" x14ac:dyDescent="0.2">
      <c r="A22" s="156" t="s">
        <v>33</v>
      </c>
      <c r="B22" s="174" t="s">
        <v>11</v>
      </c>
      <c r="C22" s="175">
        <f>'2.melléklet.Önkormányzat.és int'!Q40</f>
        <v>10072300</v>
      </c>
      <c r="D22" s="175">
        <f>'2.melléklet.Önkormányzat.és int'!P45</f>
        <v>736383061</v>
      </c>
    </row>
    <row r="23" spans="1:4" x14ac:dyDescent="0.2">
      <c r="A23" s="156" t="s">
        <v>61</v>
      </c>
      <c r="B23" s="174" t="s">
        <v>12</v>
      </c>
      <c r="C23" s="175"/>
      <c r="D23" s="175"/>
    </row>
    <row r="24" spans="1:4" x14ac:dyDescent="0.2">
      <c r="A24" s="156" t="s">
        <v>35</v>
      </c>
      <c r="B24" s="177" t="s">
        <v>6</v>
      </c>
      <c r="C24" s="176">
        <f>C25+C28+C29+C26+C27</f>
        <v>106835000</v>
      </c>
      <c r="D24" s="176">
        <f>D25+D28+D29+D26+D27</f>
        <v>107781317</v>
      </c>
    </row>
    <row r="25" spans="1:4" x14ac:dyDescent="0.2">
      <c r="A25" s="156" t="s">
        <v>37</v>
      </c>
      <c r="B25" s="174" t="s">
        <v>14</v>
      </c>
      <c r="C25" s="175"/>
      <c r="D25" s="175"/>
    </row>
    <row r="26" spans="1:4" x14ac:dyDescent="0.2">
      <c r="A26" s="156" t="s">
        <v>136</v>
      </c>
      <c r="B26" s="174" t="s">
        <v>447</v>
      </c>
      <c r="C26" s="175">
        <v>18200000</v>
      </c>
      <c r="D26" s="175">
        <f>C26</f>
        <v>18200000</v>
      </c>
    </row>
    <row r="27" spans="1:4" x14ac:dyDescent="0.2">
      <c r="A27" s="156" t="s">
        <v>137</v>
      </c>
      <c r="B27" s="174" t="s">
        <v>15</v>
      </c>
      <c r="C27" s="175">
        <v>86815000</v>
      </c>
      <c r="D27" s="175">
        <f>C27</f>
        <v>86815000</v>
      </c>
    </row>
    <row r="28" spans="1:4" x14ac:dyDescent="0.2">
      <c r="A28" s="156" t="s">
        <v>138</v>
      </c>
      <c r="B28" s="174" t="s">
        <v>540</v>
      </c>
      <c r="C28" s="175">
        <v>220000</v>
      </c>
      <c r="D28" s="175">
        <f>C28+'2.melléklet.Önkormányzat.és int'!H15</f>
        <v>1166317</v>
      </c>
    </row>
    <row r="29" spans="1:4" x14ac:dyDescent="0.2">
      <c r="A29" s="156" t="s">
        <v>139</v>
      </c>
      <c r="B29" s="174" t="s">
        <v>16</v>
      </c>
      <c r="C29" s="175">
        <v>1600000</v>
      </c>
      <c r="D29" s="175">
        <f>C29</f>
        <v>1600000</v>
      </c>
    </row>
    <row r="30" spans="1:4" x14ac:dyDescent="0.2">
      <c r="A30" s="156" t="s">
        <v>140</v>
      </c>
      <c r="B30" s="177" t="s">
        <v>17</v>
      </c>
      <c r="C30" s="176">
        <f ca="1">'2.melléklet.Önkormányzat.és int'!E40</f>
        <v>132633381</v>
      </c>
      <c r="D30" s="176">
        <f ca="1">'2.melléklet.Önkormányzat.és int'!F40</f>
        <v>148280512</v>
      </c>
    </row>
    <row r="31" spans="1:4" x14ac:dyDescent="0.2">
      <c r="A31" s="156" t="s">
        <v>141</v>
      </c>
      <c r="B31" s="177" t="s">
        <v>19</v>
      </c>
      <c r="C31" s="176"/>
      <c r="D31" s="176">
        <f>'2.melléklet.Önkormányzat.és int'!R45</f>
        <v>10072300</v>
      </c>
    </row>
    <row r="32" spans="1:4" x14ac:dyDescent="0.2">
      <c r="A32" s="156" t="s">
        <v>142</v>
      </c>
      <c r="B32" s="177" t="s">
        <v>64</v>
      </c>
      <c r="C32" s="176">
        <f>'2.melléklet.Önkormányzat.és int'!U45</f>
        <v>1750000</v>
      </c>
      <c r="D32" s="176">
        <f>'2.melléklet.Önkormányzat.és int'!V45</f>
        <v>2022000</v>
      </c>
    </row>
    <row r="33" spans="1:5" x14ac:dyDescent="0.2">
      <c r="A33" s="156" t="s">
        <v>143</v>
      </c>
      <c r="B33" s="177" t="s">
        <v>22</v>
      </c>
      <c r="C33" s="176"/>
      <c r="D33" s="176"/>
    </row>
    <row r="34" spans="1:5" x14ac:dyDescent="0.2">
      <c r="A34" s="156" t="s">
        <v>144</v>
      </c>
      <c r="B34" s="177" t="s">
        <v>54</v>
      </c>
      <c r="C34" s="176">
        <f ca="1">C8+C16+C20+C24+C30+C31+C32+C33</f>
        <v>920348502</v>
      </c>
      <c r="D34" s="176">
        <f ca="1">D8+D16+D20+D24+D30+D31+D32+D33</f>
        <v>1752761168</v>
      </c>
    </row>
    <row r="35" spans="1:5" x14ac:dyDescent="0.2">
      <c r="A35" s="156" t="s">
        <v>145</v>
      </c>
      <c r="B35" s="177" t="s">
        <v>26</v>
      </c>
      <c r="C35" s="176"/>
      <c r="D35" s="176"/>
    </row>
    <row r="36" spans="1:5" x14ac:dyDescent="0.2">
      <c r="A36" s="156" t="s">
        <v>146</v>
      </c>
      <c r="B36" s="177" t="s">
        <v>131</v>
      </c>
      <c r="C36" s="176">
        <f ca="1">'2.melléklet.Önkormányzat.és int'!W40</f>
        <v>396748087</v>
      </c>
      <c r="D36" s="176">
        <f ca="1">'2.melléklet.Önkormányzat.és int'!X40</f>
        <v>396888687</v>
      </c>
    </row>
    <row r="37" spans="1:5" x14ac:dyDescent="0.2">
      <c r="A37" s="156" t="s">
        <v>147</v>
      </c>
      <c r="B37" s="177" t="s">
        <v>29</v>
      </c>
      <c r="C37" s="176">
        <f>C38</f>
        <v>0</v>
      </c>
      <c r="D37" s="176">
        <v>0</v>
      </c>
    </row>
    <row r="38" spans="1:5" x14ac:dyDescent="0.2">
      <c r="A38" s="156" t="s">
        <v>148</v>
      </c>
      <c r="B38" s="174" t="s">
        <v>30</v>
      </c>
      <c r="C38" s="175"/>
      <c r="D38" s="175">
        <f>'2.melléklet.Önkormányzat.és int'!Z24</f>
        <v>27928613</v>
      </c>
    </row>
    <row r="39" spans="1:5" x14ac:dyDescent="0.2">
      <c r="A39" s="156" t="s">
        <v>149</v>
      </c>
      <c r="B39" s="177" t="s">
        <v>32</v>
      </c>
      <c r="C39" s="176"/>
      <c r="D39" s="176"/>
    </row>
    <row r="40" spans="1:5" x14ac:dyDescent="0.2">
      <c r="A40" s="156" t="s">
        <v>439</v>
      </c>
      <c r="B40" s="177" t="s">
        <v>541</v>
      </c>
      <c r="C40" s="176">
        <v>2000000</v>
      </c>
      <c r="D40" s="176">
        <f>'2.melléklet.Önkormányzat.és int'!T45</f>
        <v>2000000</v>
      </c>
    </row>
    <row r="41" spans="1:5" x14ac:dyDescent="0.2">
      <c r="A41" s="156" t="s">
        <v>259</v>
      </c>
      <c r="B41" s="177" t="s">
        <v>34</v>
      </c>
      <c r="C41" s="176"/>
      <c r="D41" s="176"/>
    </row>
    <row r="42" spans="1:5" x14ac:dyDescent="0.2">
      <c r="A42" s="156" t="s">
        <v>150</v>
      </c>
      <c r="B42" s="177" t="s">
        <v>36</v>
      </c>
      <c r="C42" s="176">
        <f ca="1">C35+C36+C37+C39+C40+C41+C38</f>
        <v>398748087</v>
      </c>
      <c r="D42" s="176">
        <f ca="1">D35+D36+D37+D39+D40+D41+D38</f>
        <v>426817300</v>
      </c>
    </row>
    <row r="43" spans="1:5" ht="24.75" customHeight="1" x14ac:dyDescent="0.2">
      <c r="A43" s="156" t="s">
        <v>151</v>
      </c>
      <c r="B43" s="189" t="s">
        <v>566</v>
      </c>
      <c r="C43" s="176">
        <f ca="1">C34+C42</f>
        <v>1319096589</v>
      </c>
      <c r="D43" s="176">
        <f ca="1">D34+D42</f>
        <v>2179578468</v>
      </c>
      <c r="E43" s="154"/>
    </row>
    <row r="44" spans="1:5" x14ac:dyDescent="0.2">
      <c r="A44" s="188"/>
      <c r="B44" s="187"/>
      <c r="C44" s="186"/>
      <c r="D44" s="186"/>
    </row>
    <row r="45" spans="1:5" x14ac:dyDescent="0.2">
      <c r="A45" s="169"/>
      <c r="B45" s="163"/>
      <c r="C45" s="164"/>
      <c r="D45" s="164"/>
      <c r="E45" s="154"/>
    </row>
    <row r="46" spans="1:5" ht="13.5" thickBot="1" x14ac:dyDescent="0.25">
      <c r="A46" s="726" t="s">
        <v>38</v>
      </c>
      <c r="B46" s="726"/>
      <c r="C46" s="726"/>
      <c r="D46" s="164"/>
    </row>
    <row r="47" spans="1:5" ht="13.5" thickBot="1" x14ac:dyDescent="0.25">
      <c r="A47" s="172" t="s">
        <v>57</v>
      </c>
      <c r="B47" s="180" t="s">
        <v>65</v>
      </c>
      <c r="C47" s="185" t="s">
        <v>58</v>
      </c>
      <c r="D47" s="184" t="s">
        <v>59</v>
      </c>
    </row>
    <row r="48" spans="1:5" ht="26.25" thickBot="1" x14ac:dyDescent="0.25">
      <c r="A48" s="183" t="s">
        <v>2</v>
      </c>
      <c r="B48" s="182" t="s">
        <v>39</v>
      </c>
      <c r="C48" s="181" t="s">
        <v>505</v>
      </c>
      <c r="D48" s="181" t="s">
        <v>446</v>
      </c>
    </row>
    <row r="49" spans="1:5" ht="13.5" thickBot="1" x14ac:dyDescent="0.25">
      <c r="A49" s="172" t="s">
        <v>1</v>
      </c>
      <c r="B49" s="171" t="s">
        <v>567</v>
      </c>
      <c r="C49" s="170">
        <f>C50+C51+C52+C53+C54</f>
        <v>841119725</v>
      </c>
      <c r="D49" s="170">
        <f>D50+D51+D52+D53+D54+D55</f>
        <v>1105935429</v>
      </c>
      <c r="E49" s="154"/>
    </row>
    <row r="50" spans="1:5" ht="13.5" thickBot="1" x14ac:dyDescent="0.25">
      <c r="A50" s="172" t="s">
        <v>3</v>
      </c>
      <c r="B50" s="179" t="s">
        <v>258</v>
      </c>
      <c r="C50" s="178">
        <f>'6.melléklet.Kiadások.Önk.'!D67</f>
        <v>430834713</v>
      </c>
      <c r="D50" s="178">
        <f>'6.melléklet.Kiadások.Önk.'!E67</f>
        <v>505482006</v>
      </c>
    </row>
    <row r="51" spans="1:5" ht="13.5" thickBot="1" x14ac:dyDescent="0.25">
      <c r="A51" s="172" t="s">
        <v>4</v>
      </c>
      <c r="B51" s="174" t="s">
        <v>257</v>
      </c>
      <c r="C51" s="175">
        <f>'6.melléklet.Kiadások.Önk.'!F67</f>
        <v>56758396</v>
      </c>
      <c r="D51" s="175">
        <f>'6.melléklet.Kiadások.Önk.'!G67</f>
        <v>62925854</v>
      </c>
    </row>
    <row r="52" spans="1:5" ht="13.5" thickBot="1" x14ac:dyDescent="0.25">
      <c r="A52" s="172" t="s">
        <v>5</v>
      </c>
      <c r="B52" s="174" t="s">
        <v>256</v>
      </c>
      <c r="C52" s="175">
        <f>'6.melléklet.Kiadások.Önk.'!H67</f>
        <v>283781140</v>
      </c>
      <c r="D52" s="175">
        <f>'6.melléklet.Kiadások.Önk.'!I67</f>
        <v>357078269</v>
      </c>
    </row>
    <row r="53" spans="1:5" ht="13.5" thickBot="1" x14ac:dyDescent="0.25">
      <c r="A53" s="172" t="s">
        <v>7</v>
      </c>
      <c r="B53" s="174" t="s">
        <v>255</v>
      </c>
      <c r="C53" s="175">
        <f>'6.melléklet.Kiadások.Önk.'!J67</f>
        <v>29231066</v>
      </c>
      <c r="D53" s="175">
        <f>'6.melléklet.Kiadások.Önk.'!K67</f>
        <v>33325377</v>
      </c>
    </row>
    <row r="54" spans="1:5" ht="13.5" thickBot="1" x14ac:dyDescent="0.25">
      <c r="A54" s="172" t="s">
        <v>18</v>
      </c>
      <c r="B54" s="174" t="s">
        <v>254</v>
      </c>
      <c r="C54" s="175">
        <f>'6.melléklet.Kiadások.Önk.'!L67+'6.melléklet.Kiadások.Önk.'!N67</f>
        <v>40514410</v>
      </c>
      <c r="D54" s="175">
        <f>'6.melléklet.Kiadások.Önk.'!M67+'6.melléklet.Kiadások.Önk.'!O67</f>
        <v>50823748</v>
      </c>
    </row>
    <row r="55" spans="1:5" ht="13.5" thickBot="1" x14ac:dyDescent="0.25">
      <c r="A55" s="172" t="s">
        <v>20</v>
      </c>
      <c r="B55" s="174" t="s">
        <v>253</v>
      </c>
      <c r="C55" s="175">
        <f>'6.melléklet.Kiadások.Önk.'!X67</f>
        <v>142901586</v>
      </c>
      <c r="D55" s="175">
        <f>'6.melléklet.Kiadások.Önk.'!Y64</f>
        <v>96300175</v>
      </c>
    </row>
    <row r="56" spans="1:5" ht="13.5" thickBot="1" x14ac:dyDescent="0.25">
      <c r="A56" s="172" t="s">
        <v>21</v>
      </c>
      <c r="B56" s="174" t="s">
        <v>568</v>
      </c>
      <c r="C56" s="175"/>
      <c r="D56" s="175"/>
    </row>
    <row r="57" spans="1:5" ht="13.5" thickBot="1" x14ac:dyDescent="0.25">
      <c r="A57" s="172" t="s">
        <v>23</v>
      </c>
      <c r="B57" s="174" t="s">
        <v>45</v>
      </c>
      <c r="C57" s="175"/>
      <c r="D57" s="175"/>
    </row>
    <row r="58" spans="1:5" ht="13.5" thickBot="1" x14ac:dyDescent="0.25">
      <c r="A58" s="172" t="s">
        <v>24</v>
      </c>
      <c r="B58" s="177" t="s">
        <v>252</v>
      </c>
      <c r="C58" s="176">
        <f>C59+C61+C63+C65</f>
        <v>313342484</v>
      </c>
      <c r="D58" s="176">
        <f>D59+D61+D63+D65</f>
        <v>1049323608</v>
      </c>
    </row>
    <row r="59" spans="1:5" ht="13.5" thickBot="1" x14ac:dyDescent="0.25">
      <c r="A59" s="172" t="s">
        <v>25</v>
      </c>
      <c r="B59" s="174" t="s">
        <v>251</v>
      </c>
      <c r="C59" s="175">
        <f>'6.melléklet.Kiadások.Önk.'!T67</f>
        <v>222480465</v>
      </c>
      <c r="D59" s="175">
        <f>'6.melléklet.Kiadások.Önk.'!U67</f>
        <v>835927623</v>
      </c>
    </row>
    <row r="60" spans="1:5" ht="13.5" thickBot="1" x14ac:dyDescent="0.25">
      <c r="A60" s="172" t="s">
        <v>27</v>
      </c>
      <c r="B60" s="174" t="s">
        <v>569</v>
      </c>
      <c r="C60" s="175"/>
      <c r="D60" s="175"/>
    </row>
    <row r="61" spans="1:5" ht="13.5" thickBot="1" x14ac:dyDescent="0.25">
      <c r="A61" s="172" t="s">
        <v>28</v>
      </c>
      <c r="B61" s="174" t="s">
        <v>47</v>
      </c>
      <c r="C61" s="175">
        <f>'6.melléklet.Kiadások.Önk.'!V67</f>
        <v>85862019</v>
      </c>
      <c r="D61" s="175">
        <f>'6.melléklet.Kiadások.Önk.'!W67</f>
        <v>208395985</v>
      </c>
    </row>
    <row r="62" spans="1:5" ht="13.5" thickBot="1" x14ac:dyDescent="0.25">
      <c r="A62" s="172" t="s">
        <v>31</v>
      </c>
      <c r="B62" s="174" t="s">
        <v>570</v>
      </c>
      <c r="C62" s="175"/>
      <c r="D62" s="175"/>
    </row>
    <row r="63" spans="1:5" ht="13.5" thickBot="1" x14ac:dyDescent="0.25">
      <c r="A63" s="172" t="s">
        <v>33</v>
      </c>
      <c r="B63" s="174" t="s">
        <v>48</v>
      </c>
      <c r="C63" s="175">
        <f>C64</f>
        <v>0</v>
      </c>
      <c r="D63" s="175">
        <f>D64</f>
        <v>0</v>
      </c>
    </row>
    <row r="64" spans="1:5" ht="13.5" thickBot="1" x14ac:dyDescent="0.25">
      <c r="A64" s="172" t="s">
        <v>61</v>
      </c>
      <c r="B64" s="174" t="s">
        <v>571</v>
      </c>
      <c r="C64" s="175">
        <f>'6.melléklet.Kiadások.Önk.'!AB67</f>
        <v>0</v>
      </c>
      <c r="D64" s="175">
        <f>'6.melléklet.Kiadások.Önk.'!AC67</f>
        <v>0</v>
      </c>
    </row>
    <row r="65" spans="1:5" ht="13.5" thickBot="1" x14ac:dyDescent="0.25">
      <c r="A65" s="172" t="s">
        <v>35</v>
      </c>
      <c r="B65" s="174" t="s">
        <v>49</v>
      </c>
      <c r="C65" s="175">
        <f>'6.melléklet.Kiadások.Önk.'!P67</f>
        <v>5000000</v>
      </c>
      <c r="D65" s="175">
        <f>'6.melléklet.Kiadások.Önk.'!Q67</f>
        <v>5000000</v>
      </c>
    </row>
    <row r="66" spans="1:5" ht="13.5" thickBot="1" x14ac:dyDescent="0.25">
      <c r="A66" s="172" t="s">
        <v>37</v>
      </c>
      <c r="B66" s="177" t="s">
        <v>250</v>
      </c>
      <c r="C66" s="176">
        <f>C49+C58</f>
        <v>1154462209</v>
      </c>
      <c r="D66" s="176">
        <f>D49+D58</f>
        <v>2155259037</v>
      </c>
    </row>
    <row r="67" spans="1:5" ht="13.5" thickBot="1" x14ac:dyDescent="0.25">
      <c r="A67" s="172" t="s">
        <v>141</v>
      </c>
      <c r="B67" s="177" t="s">
        <v>249</v>
      </c>
      <c r="C67" s="176">
        <f>C68</f>
        <v>21732794</v>
      </c>
      <c r="D67" s="176">
        <f>D68</f>
        <v>24319431</v>
      </c>
    </row>
    <row r="68" spans="1:5" ht="13.5" thickBot="1" x14ac:dyDescent="0.25">
      <c r="A68" s="172" t="s">
        <v>142</v>
      </c>
      <c r="B68" s="174" t="s">
        <v>248</v>
      </c>
      <c r="C68" s="175">
        <f>'6.melléklet.Kiadások.Önk.'!Z67</f>
        <v>21732794</v>
      </c>
      <c r="D68" s="175">
        <f>'6.melléklet.Kiadások.Önk.'!AA67</f>
        <v>24319431</v>
      </c>
    </row>
    <row r="69" spans="1:5" ht="13.5" thickBot="1" x14ac:dyDescent="0.25">
      <c r="A69" s="172" t="s">
        <v>143</v>
      </c>
      <c r="B69" s="177" t="s">
        <v>51</v>
      </c>
      <c r="C69" s="176"/>
      <c r="D69" s="175"/>
    </row>
    <row r="70" spans="1:5" ht="13.5" thickBot="1" x14ac:dyDescent="0.25">
      <c r="A70" s="172" t="s">
        <v>144</v>
      </c>
      <c r="B70" s="177" t="s">
        <v>52</v>
      </c>
      <c r="C70" s="176"/>
      <c r="D70" s="175"/>
    </row>
    <row r="71" spans="1:5" ht="13.5" thickBot="1" x14ac:dyDescent="0.25">
      <c r="A71" s="172" t="s">
        <v>145</v>
      </c>
      <c r="B71" s="177" t="s">
        <v>53</v>
      </c>
      <c r="C71" s="176"/>
      <c r="D71" s="175"/>
    </row>
    <row r="72" spans="1:5" ht="13.5" thickBot="1" x14ac:dyDescent="0.25">
      <c r="A72" s="172" t="s">
        <v>146</v>
      </c>
      <c r="B72" s="173" t="s">
        <v>572</v>
      </c>
      <c r="C72" s="157">
        <f>C67+C69+C70+C71</f>
        <v>21732794</v>
      </c>
      <c r="D72" s="157">
        <f>D67+D69+D70+D71</f>
        <v>24319431</v>
      </c>
    </row>
    <row r="73" spans="1:5" ht="13.5" thickBot="1" x14ac:dyDescent="0.25">
      <c r="A73" s="172" t="s">
        <v>147</v>
      </c>
      <c r="B73" s="171" t="s">
        <v>573</v>
      </c>
      <c r="C73" s="170">
        <f>C66+C72+C55</f>
        <v>1319096589</v>
      </c>
      <c r="D73" s="170">
        <f>D66+D72</f>
        <v>2179578468</v>
      </c>
      <c r="E73" s="154"/>
    </row>
    <row r="74" spans="1:5" x14ac:dyDescent="0.2">
      <c r="A74" s="169"/>
      <c r="B74" s="163"/>
      <c r="C74" s="164"/>
      <c r="D74" s="164"/>
    </row>
    <row r="75" spans="1:5" x14ac:dyDescent="0.2">
      <c r="A75" s="727" t="s">
        <v>448</v>
      </c>
      <c r="B75" s="727"/>
      <c r="C75" s="727"/>
      <c r="D75" s="168"/>
    </row>
    <row r="76" spans="1:5" ht="13.5" thickBot="1" x14ac:dyDescent="0.25">
      <c r="A76" s="167"/>
      <c r="B76" s="166"/>
      <c r="C76" s="165"/>
      <c r="D76" s="164"/>
    </row>
    <row r="77" spans="1:5" ht="42" customHeight="1" x14ac:dyDescent="0.2">
      <c r="A77" s="162" t="s">
        <v>1</v>
      </c>
      <c r="B77" s="161" t="s">
        <v>562</v>
      </c>
      <c r="C77" s="160">
        <f ca="1">C34-C66</f>
        <v>-234113707</v>
      </c>
      <c r="D77" s="160">
        <f ca="1">D34-D66</f>
        <v>-402497869</v>
      </c>
    </row>
    <row r="78" spans="1:5" ht="45.75" customHeight="1" x14ac:dyDescent="0.2">
      <c r="A78" s="159" t="s">
        <v>3</v>
      </c>
      <c r="B78" s="158" t="s">
        <v>563</v>
      </c>
      <c r="C78" s="157">
        <f ca="1">C42-C72</f>
        <v>377015293</v>
      </c>
      <c r="D78" s="157">
        <f ca="1">D42-D72</f>
        <v>402497869</v>
      </c>
    </row>
    <row r="79" spans="1:5" x14ac:dyDescent="0.2">
      <c r="A79" s="156" t="s">
        <v>4</v>
      </c>
      <c r="B79" s="155" t="s">
        <v>247</v>
      </c>
      <c r="C79" s="155"/>
      <c r="D79" s="155"/>
    </row>
  </sheetData>
  <mergeCells count="5">
    <mergeCell ref="B1:D1"/>
    <mergeCell ref="A46:C46"/>
    <mergeCell ref="A75:C75"/>
    <mergeCell ref="A4:D4"/>
    <mergeCell ref="B2:D2"/>
  </mergeCells>
  <pageMargins left="0.7" right="0.7" top="0.75" bottom="0.75" header="0.3" footer="0.3"/>
  <pageSetup paperSize="9" scale="89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R20"/>
  <sheetViews>
    <sheetView workbookViewId="0">
      <selection activeCell="D19" sqref="D19"/>
    </sheetView>
  </sheetViews>
  <sheetFormatPr defaultColWidth="9.140625" defaultRowHeight="12.75" x14ac:dyDescent="0.2"/>
  <cols>
    <col min="1" max="1" width="4.7109375" style="242" customWidth="1"/>
    <col min="2" max="2" width="27" style="520" customWidth="1"/>
    <col min="3" max="3" width="11.5703125" style="242" customWidth="1"/>
    <col min="4" max="4" width="12.85546875" style="242" customWidth="1"/>
    <col min="5" max="5" width="14.7109375" style="242" customWidth="1"/>
    <col min="6" max="6" width="15.28515625" style="242" customWidth="1"/>
    <col min="7" max="7" width="13" style="242" customWidth="1"/>
    <col min="8" max="8" width="14.85546875" style="242" customWidth="1"/>
    <col min="9" max="9" width="10.140625" style="242" customWidth="1"/>
    <col min="10" max="16384" width="9.140625" style="242"/>
  </cols>
  <sheetData>
    <row r="1" spans="1:18" s="201" customFormat="1" x14ac:dyDescent="0.2">
      <c r="A1" s="787"/>
      <c r="B1" s="788"/>
      <c r="C1" s="788"/>
      <c r="D1" s="788"/>
      <c r="E1" s="788"/>
      <c r="F1" s="788"/>
      <c r="G1" s="788"/>
      <c r="H1" s="788"/>
      <c r="I1" s="788"/>
      <c r="J1" s="200"/>
      <c r="K1" s="200"/>
      <c r="L1" s="200"/>
      <c r="M1" s="200"/>
      <c r="N1" s="200"/>
      <c r="O1" s="200"/>
      <c r="P1" s="200"/>
      <c r="Q1" s="200"/>
      <c r="R1" s="200"/>
    </row>
    <row r="2" spans="1:18" s="201" customFormat="1" ht="12" x14ac:dyDescent="0.2">
      <c r="A2" s="202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4"/>
    </row>
    <row r="3" spans="1:18" s="201" customFormat="1" x14ac:dyDescent="0.2">
      <c r="A3" s="789" t="s">
        <v>510</v>
      </c>
      <c r="B3" s="790"/>
      <c r="C3" s="790"/>
      <c r="D3" s="790"/>
      <c r="E3" s="790"/>
      <c r="F3" s="790"/>
      <c r="G3" s="790"/>
      <c r="H3" s="790"/>
      <c r="I3" s="790"/>
      <c r="J3" s="200"/>
      <c r="K3" s="200"/>
      <c r="L3" s="200"/>
      <c r="M3" s="200"/>
      <c r="N3" s="200"/>
      <c r="O3" s="200"/>
      <c r="P3" s="200"/>
      <c r="Q3" s="200"/>
      <c r="R3" s="200"/>
    </row>
    <row r="4" spans="1:18" s="201" customFormat="1" ht="12" x14ac:dyDescent="0.2">
      <c r="A4" s="206"/>
      <c r="B4" s="207"/>
      <c r="C4" s="207"/>
      <c r="D4" s="207"/>
      <c r="E4" s="207"/>
      <c r="F4" s="207"/>
      <c r="G4" s="207"/>
      <c r="H4" s="207"/>
      <c r="I4" s="207"/>
      <c r="J4" s="208"/>
      <c r="K4" s="204"/>
      <c r="L4" s="204"/>
      <c r="M4" s="204"/>
      <c r="N4" s="204"/>
      <c r="O4" s="204"/>
      <c r="P4" s="204"/>
      <c r="Q4" s="204"/>
      <c r="R4" s="204"/>
    </row>
    <row r="5" spans="1:18" s="201" customFormat="1" ht="33" customHeight="1" x14ac:dyDescent="0.25">
      <c r="A5" s="791" t="s">
        <v>424</v>
      </c>
      <c r="B5" s="792"/>
      <c r="C5" s="792"/>
      <c r="D5" s="792"/>
      <c r="E5" s="792"/>
      <c r="F5" s="792"/>
      <c r="G5" s="792"/>
      <c r="H5" s="792"/>
      <c r="I5" s="792"/>
      <c r="J5" s="210"/>
      <c r="K5" s="210"/>
      <c r="L5" s="210"/>
      <c r="M5" s="210"/>
      <c r="N5" s="210"/>
      <c r="O5" s="210"/>
      <c r="P5" s="210"/>
      <c r="Q5" s="210"/>
      <c r="R5" s="210"/>
    </row>
    <row r="6" spans="1:18" s="201" customFormat="1" ht="12" x14ac:dyDescent="0.2">
      <c r="A6" s="206"/>
      <c r="B6" s="207"/>
      <c r="C6" s="207"/>
      <c r="D6" s="207"/>
      <c r="E6" s="207"/>
      <c r="F6" s="207"/>
      <c r="G6" s="207"/>
      <c r="H6" s="207"/>
      <c r="I6" s="207"/>
      <c r="J6" s="208"/>
      <c r="K6" s="204"/>
      <c r="L6" s="204"/>
      <c r="M6" s="204"/>
      <c r="N6" s="204"/>
      <c r="O6" s="204"/>
      <c r="P6" s="204"/>
      <c r="Q6" s="204"/>
      <c r="R6" s="204"/>
    </row>
    <row r="7" spans="1:18" s="201" customFormat="1" ht="13.5" thickBot="1" x14ac:dyDescent="0.25">
      <c r="A7" s="782" t="s">
        <v>423</v>
      </c>
      <c r="B7" s="782"/>
      <c r="C7" s="782"/>
      <c r="D7" s="782"/>
      <c r="E7" s="782"/>
      <c r="F7" s="782"/>
      <c r="G7" s="782"/>
      <c r="H7" s="782"/>
      <c r="I7" s="200"/>
      <c r="J7" s="200"/>
      <c r="K7" s="200"/>
      <c r="L7" s="200"/>
      <c r="M7" s="200"/>
      <c r="N7" s="200"/>
      <c r="O7" s="200"/>
      <c r="P7" s="200"/>
      <c r="Q7" s="200"/>
      <c r="R7" s="200"/>
    </row>
    <row r="8" spans="1:18" x14ac:dyDescent="0.2">
      <c r="A8" s="783" t="s">
        <v>301</v>
      </c>
      <c r="B8" s="785" t="s">
        <v>422</v>
      </c>
      <c r="C8" s="785"/>
      <c r="D8" s="785"/>
      <c r="E8" s="785"/>
      <c r="F8" s="785"/>
      <c r="G8" s="785"/>
      <c r="H8" s="786"/>
    </row>
    <row r="9" spans="1:18" ht="57.75" customHeight="1" x14ac:dyDescent="0.2">
      <c r="A9" s="784"/>
      <c r="B9" s="528" t="s">
        <v>421</v>
      </c>
      <c r="C9" s="527" t="s">
        <v>420</v>
      </c>
      <c r="D9" s="527" t="s">
        <v>419</v>
      </c>
      <c r="E9" s="527" t="s">
        <v>418</v>
      </c>
      <c r="F9" s="527" t="s">
        <v>417</v>
      </c>
      <c r="G9" s="527" t="s">
        <v>128</v>
      </c>
      <c r="H9" s="526" t="s">
        <v>88</v>
      </c>
    </row>
    <row r="10" spans="1:18" ht="31.35" customHeight="1" x14ac:dyDescent="0.2">
      <c r="A10" s="525">
        <v>1</v>
      </c>
      <c r="B10" s="309" t="s">
        <v>416</v>
      </c>
      <c r="C10" s="228">
        <v>0</v>
      </c>
      <c r="D10" s="228">
        <v>3</v>
      </c>
      <c r="E10" s="228">
        <v>3</v>
      </c>
      <c r="F10" s="228">
        <v>61</v>
      </c>
      <c r="G10" s="228">
        <v>1</v>
      </c>
      <c r="H10" s="225">
        <f>SUM(C10:G10)</f>
        <v>68</v>
      </c>
    </row>
    <row r="11" spans="1:18" ht="31.35" customHeight="1" x14ac:dyDescent="0.2">
      <c r="A11" s="525">
        <v>2</v>
      </c>
      <c r="B11" s="309" t="s">
        <v>274</v>
      </c>
      <c r="C11" s="228">
        <v>18</v>
      </c>
      <c r="D11" s="228"/>
      <c r="E11" s="228"/>
      <c r="F11" s="228"/>
      <c r="G11" s="228"/>
      <c r="H11" s="225">
        <f>SUM(C11:G11)</f>
        <v>18</v>
      </c>
    </row>
    <row r="12" spans="1:18" ht="31.35" customHeight="1" x14ac:dyDescent="0.2">
      <c r="A12" s="525">
        <v>3</v>
      </c>
      <c r="B12" s="309" t="s">
        <v>275</v>
      </c>
      <c r="C12" s="228"/>
      <c r="D12" s="228">
        <v>26</v>
      </c>
      <c r="E12" s="228"/>
      <c r="F12" s="228"/>
      <c r="G12" s="228"/>
      <c r="H12" s="225">
        <f>SUM(C12:G12)</f>
        <v>26</v>
      </c>
    </row>
    <row r="13" spans="1:18" ht="31.35" customHeight="1" x14ac:dyDescent="0.2">
      <c r="A13" s="525">
        <v>4</v>
      </c>
      <c r="B13" s="309" t="s">
        <v>276</v>
      </c>
      <c r="C13" s="228"/>
      <c r="D13" s="228">
        <v>37</v>
      </c>
      <c r="E13" s="228"/>
      <c r="F13" s="228"/>
      <c r="G13" s="228"/>
      <c r="H13" s="225">
        <f>SUM(C13:G13)</f>
        <v>37</v>
      </c>
    </row>
    <row r="14" spans="1:18" ht="13.5" thickBot="1" x14ac:dyDescent="0.25">
      <c r="A14" s="524">
        <v>5</v>
      </c>
      <c r="B14" s="523" t="s">
        <v>415</v>
      </c>
      <c r="C14" s="230">
        <f t="shared" ref="C14:H14" si="0">C10+C11+C12+C13</f>
        <v>18</v>
      </c>
      <c r="D14" s="230">
        <f t="shared" si="0"/>
        <v>66</v>
      </c>
      <c r="E14" s="230">
        <f t="shared" si="0"/>
        <v>3</v>
      </c>
      <c r="F14" s="230">
        <f t="shared" si="0"/>
        <v>61</v>
      </c>
      <c r="G14" s="230">
        <f t="shared" si="0"/>
        <v>1</v>
      </c>
      <c r="H14" s="231">
        <f t="shared" si="0"/>
        <v>149</v>
      </c>
    </row>
    <row r="15" spans="1:18" x14ac:dyDescent="0.2">
      <c r="A15" s="237"/>
      <c r="B15" s="522"/>
      <c r="C15" s="237"/>
      <c r="D15" s="237"/>
      <c r="E15" s="237"/>
      <c r="F15" s="237"/>
      <c r="G15" s="237"/>
      <c r="H15" s="237"/>
    </row>
    <row r="16" spans="1:18" ht="25.5" x14ac:dyDescent="0.2">
      <c r="A16" s="237"/>
      <c r="B16" s="309" t="s">
        <v>414</v>
      </c>
      <c r="C16" s="776"/>
      <c r="D16" s="777"/>
      <c r="E16" s="777"/>
      <c r="F16" s="777"/>
      <c r="G16" s="778"/>
      <c r="H16" s="228">
        <v>7</v>
      </c>
    </row>
    <row r="17" spans="1:8" x14ac:dyDescent="0.2">
      <c r="A17" s="237"/>
      <c r="B17" s="309" t="s">
        <v>413</v>
      </c>
      <c r="C17" s="779"/>
      <c r="D17" s="780"/>
      <c r="E17" s="780"/>
      <c r="F17" s="780"/>
      <c r="G17" s="781"/>
      <c r="H17" s="228">
        <v>4</v>
      </c>
    </row>
    <row r="18" spans="1:8" x14ac:dyDescent="0.2">
      <c r="A18" s="237"/>
      <c r="B18" s="522"/>
      <c r="C18" s="237"/>
      <c r="D18" s="237"/>
      <c r="E18" s="237"/>
      <c r="F18" s="237"/>
      <c r="G18" s="237"/>
      <c r="H18" s="237"/>
    </row>
    <row r="19" spans="1:8" x14ac:dyDescent="0.2">
      <c r="A19" s="237"/>
      <c r="B19" s="522"/>
      <c r="C19" s="237"/>
      <c r="D19" s="237"/>
      <c r="E19" s="237"/>
      <c r="F19" s="237"/>
      <c r="G19" s="237"/>
      <c r="H19" s="237"/>
    </row>
    <row r="20" spans="1:8" x14ac:dyDescent="0.2">
      <c r="B20" s="522"/>
      <c r="C20" s="237"/>
      <c r="D20" s="521"/>
      <c r="E20" s="237"/>
      <c r="F20" s="237"/>
      <c r="G20" s="237"/>
      <c r="H20" s="237"/>
    </row>
  </sheetData>
  <mergeCells count="7">
    <mergeCell ref="C16:G17"/>
    <mergeCell ref="A7:H7"/>
    <mergeCell ref="A8:A9"/>
    <mergeCell ref="B8:H8"/>
    <mergeCell ref="A1:I1"/>
    <mergeCell ref="A3:I3"/>
    <mergeCell ref="A5:I5"/>
  </mergeCells>
  <printOptions horizontalCentered="1"/>
  <pageMargins left="0.74803149606299213" right="0.74803149606299213" top="0.23622047244094491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R142"/>
  <sheetViews>
    <sheetView topLeftCell="A16" zoomScale="112" zoomScaleNormal="112" workbookViewId="0">
      <selection activeCell="D46" sqref="D46"/>
    </sheetView>
  </sheetViews>
  <sheetFormatPr defaultColWidth="9.140625" defaultRowHeight="12.75" x14ac:dyDescent="0.2"/>
  <cols>
    <col min="1" max="1" width="4.85546875" style="216" customWidth="1"/>
    <col min="2" max="2" width="47.7109375" style="277" customWidth="1"/>
    <col min="3" max="3" width="13.42578125" style="256" customWidth="1"/>
    <col min="4" max="4" width="14" style="256" customWidth="1"/>
    <col min="5" max="5" width="11.7109375" style="256" customWidth="1"/>
    <col min="6" max="6" width="10" style="216" bestFit="1" customWidth="1"/>
    <col min="7" max="7" width="19.5703125" style="216" customWidth="1"/>
    <col min="8" max="16384" width="9.140625" style="216"/>
  </cols>
  <sheetData>
    <row r="1" spans="1:18" s="201" customFormat="1" ht="27.75" customHeight="1" x14ac:dyDescent="0.2">
      <c r="A1" s="787"/>
      <c r="B1" s="788"/>
      <c r="C1" s="788"/>
      <c r="D1" s="788"/>
      <c r="E1" s="199"/>
      <c r="F1" s="199"/>
      <c r="G1" s="199"/>
      <c r="H1" s="199"/>
      <c r="I1" s="199"/>
      <c r="J1" s="200"/>
      <c r="K1" s="200"/>
      <c r="L1" s="200"/>
      <c r="M1" s="200"/>
      <c r="N1" s="200"/>
      <c r="O1" s="200"/>
      <c r="P1" s="200"/>
      <c r="Q1" s="200"/>
      <c r="R1" s="200"/>
    </row>
    <row r="2" spans="1:18" s="201" customFormat="1" ht="12" x14ac:dyDescent="0.2">
      <c r="A2" s="202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4"/>
    </row>
    <row r="3" spans="1:18" s="201" customFormat="1" ht="28.5" customHeight="1" x14ac:dyDescent="0.2">
      <c r="A3" s="789" t="s">
        <v>511</v>
      </c>
      <c r="B3" s="790"/>
      <c r="C3" s="790"/>
      <c r="D3" s="790"/>
      <c r="E3" s="205"/>
      <c r="F3" s="205"/>
      <c r="G3" s="205"/>
      <c r="H3" s="205"/>
      <c r="I3" s="205"/>
      <c r="J3" s="200"/>
      <c r="K3" s="200"/>
      <c r="L3" s="200"/>
      <c r="M3" s="200"/>
      <c r="N3" s="200"/>
      <c r="O3" s="200"/>
      <c r="P3" s="200"/>
      <c r="Q3" s="200"/>
      <c r="R3" s="200"/>
    </row>
    <row r="4" spans="1:18" s="201" customFormat="1" ht="12" x14ac:dyDescent="0.2">
      <c r="A4" s="206"/>
      <c r="B4" s="207"/>
      <c r="C4" s="207"/>
      <c r="D4" s="207"/>
      <c r="E4" s="207"/>
      <c r="F4" s="207"/>
      <c r="G4" s="207"/>
      <c r="H4" s="207"/>
      <c r="I4" s="207"/>
      <c r="J4" s="208"/>
      <c r="K4" s="204"/>
      <c r="L4" s="204"/>
      <c r="M4" s="204"/>
      <c r="N4" s="204"/>
      <c r="O4" s="204"/>
      <c r="P4" s="204"/>
      <c r="Q4" s="204"/>
      <c r="R4" s="204"/>
    </row>
    <row r="5" spans="1:18" s="201" customFormat="1" ht="33" customHeight="1" x14ac:dyDescent="0.25">
      <c r="A5" s="791" t="s">
        <v>267</v>
      </c>
      <c r="B5" s="792"/>
      <c r="C5" s="792"/>
      <c r="D5" s="792"/>
      <c r="E5" s="209"/>
      <c r="F5" s="209"/>
      <c r="G5" s="209"/>
      <c r="H5" s="209"/>
      <c r="I5" s="209"/>
      <c r="J5" s="210"/>
      <c r="K5" s="210"/>
      <c r="L5" s="210"/>
      <c r="M5" s="210"/>
      <c r="N5" s="210"/>
      <c r="O5" s="210"/>
      <c r="P5" s="210"/>
      <c r="Q5" s="210"/>
      <c r="R5" s="210"/>
    </row>
    <row r="6" spans="1:18" s="201" customFormat="1" ht="12" x14ac:dyDescent="0.2">
      <c r="A6" s="206"/>
      <c r="B6" s="207"/>
      <c r="C6" s="207"/>
      <c r="D6" s="207"/>
      <c r="E6" s="207"/>
      <c r="F6" s="207"/>
      <c r="G6" s="207"/>
      <c r="H6" s="207"/>
      <c r="I6" s="207"/>
      <c r="J6" s="208"/>
      <c r="K6" s="204"/>
      <c r="L6" s="204"/>
      <c r="M6" s="204"/>
      <c r="N6" s="204"/>
      <c r="O6" s="204"/>
      <c r="P6" s="204"/>
      <c r="Q6" s="204"/>
      <c r="R6" s="204"/>
    </row>
    <row r="7" spans="1:18" s="201" customFormat="1" ht="13.5" thickBot="1" x14ac:dyDescent="0.25">
      <c r="A7" s="211"/>
      <c r="B7" s="211"/>
      <c r="C7" s="782" t="s">
        <v>426</v>
      </c>
      <c r="D7" s="782"/>
      <c r="E7" s="211"/>
      <c r="F7" s="211"/>
      <c r="G7" s="211"/>
      <c r="H7" s="211"/>
      <c r="I7" s="200"/>
      <c r="J7" s="200"/>
      <c r="K7" s="200"/>
      <c r="L7" s="200"/>
      <c r="M7" s="200"/>
      <c r="N7" s="200"/>
      <c r="O7" s="200"/>
      <c r="P7" s="200"/>
      <c r="Q7" s="200"/>
      <c r="R7" s="200"/>
    </row>
    <row r="8" spans="1:18" ht="26.25" customHeight="1" x14ac:dyDescent="0.2">
      <c r="A8" s="212" t="s">
        <v>71</v>
      </c>
      <c r="B8" s="542" t="s">
        <v>268</v>
      </c>
      <c r="C8" s="213" t="s">
        <v>269</v>
      </c>
      <c r="D8" s="214" t="s">
        <v>270</v>
      </c>
      <c r="E8" s="696"/>
      <c r="F8" s="565"/>
      <c r="G8" s="565"/>
      <c r="H8" s="565"/>
    </row>
    <row r="9" spans="1:18" ht="27" customHeight="1" x14ac:dyDescent="0.2">
      <c r="A9" s="538" t="s">
        <v>191</v>
      </c>
      <c r="B9" s="678" t="s">
        <v>57</v>
      </c>
      <c r="C9" s="679" t="s">
        <v>65</v>
      </c>
      <c r="D9" s="697" t="s">
        <v>58</v>
      </c>
      <c r="E9" s="696"/>
      <c r="F9" s="565"/>
      <c r="G9" s="565"/>
      <c r="H9" s="565"/>
    </row>
    <row r="10" spans="1:18" ht="27" customHeight="1" x14ac:dyDescent="0.2">
      <c r="A10" s="672" t="s">
        <v>1</v>
      </c>
      <c r="B10" s="680" t="s">
        <v>532</v>
      </c>
      <c r="C10" s="681">
        <v>56037795</v>
      </c>
      <c r="D10" s="718">
        <v>31964004</v>
      </c>
      <c r="E10" s="234"/>
    </row>
    <row r="11" spans="1:18" ht="25.5" x14ac:dyDescent="0.2">
      <c r="A11" s="672" t="s">
        <v>3</v>
      </c>
      <c r="B11" s="217" t="s">
        <v>531</v>
      </c>
      <c r="C11" s="543">
        <v>4000000</v>
      </c>
      <c r="D11" s="673">
        <f>C11</f>
        <v>4000000</v>
      </c>
      <c r="E11" s="215"/>
      <c r="F11" s="218"/>
      <c r="G11" s="219"/>
    </row>
    <row r="12" spans="1:18" ht="15" x14ac:dyDescent="0.2">
      <c r="A12" s="672" t="s">
        <v>4</v>
      </c>
      <c r="B12" s="221" t="s">
        <v>576</v>
      </c>
      <c r="C12" s="544"/>
      <c r="D12" s="674">
        <v>63668877</v>
      </c>
      <c r="E12" s="215"/>
      <c r="F12" s="218"/>
      <c r="G12" s="219"/>
    </row>
    <row r="13" spans="1:18" x14ac:dyDescent="0.2">
      <c r="A13" s="672" t="s">
        <v>5</v>
      </c>
      <c r="B13" s="222" t="s">
        <v>427</v>
      </c>
      <c r="C13" s="544">
        <v>141823811</v>
      </c>
      <c r="D13" s="656">
        <v>135229281</v>
      </c>
      <c r="E13" s="215"/>
      <c r="F13" s="218"/>
      <c r="G13" s="219"/>
    </row>
    <row r="14" spans="1:18" x14ac:dyDescent="0.2">
      <c r="A14" s="672" t="s">
        <v>7</v>
      </c>
      <c r="B14" s="222" t="s">
        <v>527</v>
      </c>
      <c r="C14" s="544">
        <v>3486493</v>
      </c>
      <c r="D14" s="656">
        <v>6339078</v>
      </c>
      <c r="E14" s="215"/>
      <c r="F14" s="218"/>
      <c r="G14" s="219"/>
    </row>
    <row r="15" spans="1:18" x14ac:dyDescent="0.2">
      <c r="A15" s="672" t="s">
        <v>18</v>
      </c>
      <c r="B15" s="222" t="s">
        <v>526</v>
      </c>
      <c r="C15" s="544">
        <v>10000000</v>
      </c>
      <c r="D15" s="656">
        <f>9108923+975360+854060</f>
        <v>10938343</v>
      </c>
      <c r="E15" s="215"/>
      <c r="F15" s="218"/>
      <c r="G15" s="219"/>
    </row>
    <row r="16" spans="1:18" ht="25.5" x14ac:dyDescent="0.2">
      <c r="A16" s="672" t="s">
        <v>20</v>
      </c>
      <c r="B16" s="222" t="s">
        <v>536</v>
      </c>
      <c r="C16" s="544">
        <v>165100</v>
      </c>
      <c r="D16" s="675">
        <v>0</v>
      </c>
      <c r="E16" s="215"/>
      <c r="F16" s="218"/>
      <c r="G16" s="219"/>
    </row>
    <row r="17" spans="1:7" x14ac:dyDescent="0.2">
      <c r="A17" s="672" t="s">
        <v>21</v>
      </c>
      <c r="B17" s="222" t="s">
        <v>537</v>
      </c>
      <c r="C17" s="544">
        <v>1092200</v>
      </c>
      <c r="D17" s="675">
        <f>498884+278216</f>
        <v>777100</v>
      </c>
      <c r="E17" s="215"/>
      <c r="F17" s="218"/>
      <c r="G17" s="219"/>
    </row>
    <row r="18" spans="1:7" x14ac:dyDescent="0.2">
      <c r="A18" s="672" t="s">
        <v>23</v>
      </c>
      <c r="B18" s="222" t="s">
        <v>428</v>
      </c>
      <c r="C18" s="544">
        <v>4110002</v>
      </c>
      <c r="D18" s="675">
        <v>4063216</v>
      </c>
      <c r="E18" s="215"/>
      <c r="F18" s="218"/>
      <c r="G18" s="219"/>
    </row>
    <row r="19" spans="1:7" x14ac:dyDescent="0.2">
      <c r="A19" s="672" t="s">
        <v>24</v>
      </c>
      <c r="B19" s="217" t="s">
        <v>430</v>
      </c>
      <c r="C19" s="543">
        <f>'9. Óvoda kiad'!N12</f>
        <v>876064</v>
      </c>
      <c r="D19" s="673">
        <v>1933272</v>
      </c>
      <c r="E19" s="215"/>
      <c r="F19" s="218"/>
      <c r="G19" s="219"/>
    </row>
    <row r="20" spans="1:7" ht="25.5" x14ac:dyDescent="0.2">
      <c r="A20" s="672" t="s">
        <v>25</v>
      </c>
      <c r="B20" s="217" t="s">
        <v>535</v>
      </c>
      <c r="C20" s="543">
        <f>'7.PMH kiad'!N11</f>
        <v>444500</v>
      </c>
      <c r="D20" s="673">
        <f>C20</f>
        <v>444500</v>
      </c>
      <c r="E20" s="215"/>
      <c r="F20" s="218"/>
      <c r="G20" s="219"/>
    </row>
    <row r="21" spans="1:7" x14ac:dyDescent="0.2">
      <c r="A21" s="672" t="s">
        <v>27</v>
      </c>
      <c r="B21" s="217" t="s">
        <v>579</v>
      </c>
      <c r="C21" s="543"/>
      <c r="D21" s="673">
        <v>6000001</v>
      </c>
      <c r="E21" s="215"/>
      <c r="F21" s="227"/>
      <c r="G21" s="219"/>
    </row>
    <row r="22" spans="1:7" x14ac:dyDescent="0.2">
      <c r="A22" s="672" t="s">
        <v>28</v>
      </c>
      <c r="B22" s="217" t="s">
        <v>580</v>
      </c>
      <c r="C22" s="543"/>
      <c r="D22" s="673">
        <v>1034415</v>
      </c>
      <c r="E22" s="215"/>
      <c r="F22" s="218"/>
      <c r="G22" s="219"/>
    </row>
    <row r="23" spans="1:7" x14ac:dyDescent="0.2">
      <c r="A23" s="672"/>
      <c r="B23" s="217" t="s">
        <v>596</v>
      </c>
      <c r="C23" s="543"/>
      <c r="D23" s="673">
        <v>985468</v>
      </c>
      <c r="E23" s="234"/>
      <c r="F23" s="218"/>
      <c r="G23" s="219"/>
    </row>
    <row r="24" spans="1:7" x14ac:dyDescent="0.2">
      <c r="A24" s="672"/>
      <c r="B24" s="217" t="s">
        <v>597</v>
      </c>
      <c r="C24" s="543"/>
      <c r="D24" s="673">
        <v>15843250</v>
      </c>
      <c r="E24" s="215"/>
      <c r="F24" s="218"/>
      <c r="G24" s="219"/>
    </row>
    <row r="25" spans="1:7" x14ac:dyDescent="0.2">
      <c r="A25" s="672"/>
      <c r="B25" s="217" t="s">
        <v>598</v>
      </c>
      <c r="C25" s="543"/>
      <c r="D25" s="673">
        <v>667597</v>
      </c>
      <c r="E25" s="215"/>
      <c r="F25" s="218"/>
      <c r="G25" s="219"/>
    </row>
    <row r="26" spans="1:7" x14ac:dyDescent="0.2">
      <c r="A26" s="672"/>
      <c r="B26" s="217" t="s">
        <v>600</v>
      </c>
      <c r="C26" s="543"/>
      <c r="D26" s="673">
        <v>552039221</v>
      </c>
      <c r="E26" s="215"/>
      <c r="F26" s="218"/>
      <c r="G26" s="219"/>
    </row>
    <row r="27" spans="1:7" x14ac:dyDescent="0.2">
      <c r="A27" s="672" t="s">
        <v>33</v>
      </c>
      <c r="B27" s="540" t="s">
        <v>68</v>
      </c>
      <c r="C27" s="545">
        <f>SUM(C10:C20)</f>
        <v>222035965</v>
      </c>
      <c r="D27" s="676">
        <f>D10+D11+D12+D13+D14+D15+D16+D17+D18+D19+D20+D21+D22+D23+D24+D25+D26</f>
        <v>835927623</v>
      </c>
      <c r="E27" s="234"/>
      <c r="F27" s="227"/>
      <c r="G27" s="219"/>
    </row>
    <row r="28" spans="1:7" x14ac:dyDescent="0.2">
      <c r="A28" s="672" t="s">
        <v>61</v>
      </c>
      <c r="B28" s="217"/>
      <c r="C28" s="530"/>
      <c r="D28" s="677"/>
      <c r="E28" s="234"/>
      <c r="F28" s="218"/>
      <c r="G28" s="219"/>
    </row>
    <row r="29" spans="1:7" ht="14.25" x14ac:dyDescent="0.2">
      <c r="A29" s="672" t="s">
        <v>35</v>
      </c>
      <c r="B29" s="541" t="s">
        <v>431</v>
      </c>
      <c r="C29" s="530"/>
      <c r="D29" s="677"/>
      <c r="E29" s="215"/>
      <c r="F29" s="218"/>
      <c r="G29" s="219"/>
    </row>
    <row r="30" spans="1:7" x14ac:dyDescent="0.2">
      <c r="A30" s="672" t="s">
        <v>37</v>
      </c>
      <c r="B30" s="217" t="s">
        <v>528</v>
      </c>
      <c r="C30" s="543">
        <f>12000000+294500</f>
        <v>12294500</v>
      </c>
      <c r="D30" s="673"/>
      <c r="E30" s="215"/>
      <c r="F30" s="218"/>
      <c r="G30" s="219"/>
    </row>
    <row r="31" spans="1:7" ht="25.5" x14ac:dyDescent="0.2">
      <c r="A31" s="672" t="s">
        <v>136</v>
      </c>
      <c r="B31" s="680" t="s">
        <v>530</v>
      </c>
      <c r="C31" s="543">
        <f>24280595-91390</f>
        <v>24189205</v>
      </c>
      <c r="D31" s="673">
        <f>C31+91390</f>
        <v>24280595</v>
      </c>
      <c r="E31" s="234"/>
      <c r="F31" s="227"/>
      <c r="G31" s="219"/>
    </row>
    <row r="32" spans="1:7" x14ac:dyDescent="0.2">
      <c r="A32" s="672"/>
      <c r="B32" s="680" t="s">
        <v>593</v>
      </c>
      <c r="C32" s="543"/>
      <c r="D32" s="673">
        <v>8738328</v>
      </c>
      <c r="E32" s="234"/>
      <c r="F32" s="227"/>
      <c r="G32" s="219"/>
    </row>
    <row r="33" spans="1:7" x14ac:dyDescent="0.2">
      <c r="A33" s="672" t="s">
        <v>137</v>
      </c>
      <c r="B33" s="680" t="s">
        <v>538</v>
      </c>
      <c r="C33" s="543">
        <v>4635350</v>
      </c>
      <c r="D33" s="673">
        <f>C33</f>
        <v>4635350</v>
      </c>
      <c r="E33" s="215"/>
      <c r="F33" s="218"/>
      <c r="G33" s="219"/>
    </row>
    <row r="34" spans="1:7" x14ac:dyDescent="0.2">
      <c r="A34" s="672"/>
      <c r="B34" s="680" t="s">
        <v>594</v>
      </c>
      <c r="C34" s="543"/>
      <c r="D34" s="673">
        <v>1022316</v>
      </c>
      <c r="E34" s="215"/>
      <c r="F34" s="218"/>
      <c r="G34" s="219"/>
    </row>
    <row r="35" spans="1:7" x14ac:dyDescent="0.2">
      <c r="A35" s="672" t="s">
        <v>138</v>
      </c>
      <c r="B35" s="217" t="s">
        <v>529</v>
      </c>
      <c r="C35" s="543">
        <v>1443023</v>
      </c>
      <c r="D35" s="673">
        <f>C35</f>
        <v>1443023</v>
      </c>
      <c r="E35" s="215"/>
      <c r="F35" s="218"/>
      <c r="G35" s="219"/>
    </row>
    <row r="36" spans="1:7" x14ac:dyDescent="0.2">
      <c r="A36" s="672"/>
      <c r="B36" s="217" t="s">
        <v>595</v>
      </c>
      <c r="C36" s="543"/>
      <c r="D36" s="673">
        <v>114477598</v>
      </c>
      <c r="E36" s="215"/>
      <c r="F36" s="218"/>
      <c r="G36" s="219"/>
    </row>
    <row r="37" spans="1:7" x14ac:dyDescent="0.2">
      <c r="A37" s="672" t="s">
        <v>139</v>
      </c>
      <c r="B37" s="217" t="s">
        <v>533</v>
      </c>
      <c r="C37" s="543">
        <v>29999997</v>
      </c>
      <c r="D37" s="673">
        <v>23596103</v>
      </c>
      <c r="E37" s="234"/>
      <c r="F37" s="218"/>
      <c r="G37" s="219"/>
    </row>
    <row r="38" spans="1:7" x14ac:dyDescent="0.2">
      <c r="A38" s="672" t="s">
        <v>140</v>
      </c>
      <c r="B38" s="217" t="s">
        <v>577</v>
      </c>
      <c r="C38" s="543"/>
      <c r="D38" s="673">
        <v>19999566</v>
      </c>
      <c r="E38" s="234"/>
      <c r="F38" s="218"/>
      <c r="G38" s="219"/>
    </row>
    <row r="39" spans="1:7" x14ac:dyDescent="0.2">
      <c r="A39" s="672" t="s">
        <v>141</v>
      </c>
      <c r="B39" s="217" t="s">
        <v>534</v>
      </c>
      <c r="C39" s="543">
        <v>5999944</v>
      </c>
      <c r="D39" s="673">
        <v>0</v>
      </c>
      <c r="E39" s="215"/>
      <c r="F39" s="218"/>
      <c r="G39" s="219"/>
    </row>
    <row r="40" spans="1:7" x14ac:dyDescent="0.2">
      <c r="A40" s="672" t="s">
        <v>142</v>
      </c>
      <c r="B40" s="217" t="s">
        <v>465</v>
      </c>
      <c r="C40" s="543">
        <v>7300000</v>
      </c>
      <c r="D40" s="673">
        <v>0</v>
      </c>
      <c r="E40" s="215"/>
      <c r="F40" s="218"/>
      <c r="G40" s="219"/>
    </row>
    <row r="41" spans="1:7" x14ac:dyDescent="0.2">
      <c r="A41" s="672"/>
      <c r="B41" s="217" t="s">
        <v>587</v>
      </c>
      <c r="C41" s="543"/>
      <c r="D41" s="673">
        <v>203110</v>
      </c>
      <c r="E41" s="215"/>
      <c r="F41" s="218"/>
      <c r="G41" s="219"/>
    </row>
    <row r="42" spans="1:7" x14ac:dyDescent="0.2">
      <c r="A42" s="672" t="s">
        <v>143</v>
      </c>
      <c r="B42" s="217" t="s">
        <v>578</v>
      </c>
      <c r="C42" s="543"/>
      <c r="D42" s="673">
        <v>9999996</v>
      </c>
      <c r="E42" s="215"/>
      <c r="F42" s="218"/>
      <c r="G42" s="219"/>
    </row>
    <row r="43" spans="1:7" x14ac:dyDescent="0.2">
      <c r="A43" s="672" t="s">
        <v>144</v>
      </c>
      <c r="B43" s="540" t="s">
        <v>68</v>
      </c>
      <c r="C43" s="545">
        <f>SUM(C30:C40)</f>
        <v>85862019</v>
      </c>
      <c r="D43" s="676">
        <f>SUM(D30:D42)</f>
        <v>208395985</v>
      </c>
      <c r="E43" s="234"/>
      <c r="F43" s="227"/>
      <c r="G43" s="219"/>
    </row>
    <row r="44" spans="1:7" x14ac:dyDescent="0.2">
      <c r="A44" s="672" t="s">
        <v>145</v>
      </c>
      <c r="B44" s="217"/>
      <c r="C44" s="543"/>
      <c r="D44" s="673"/>
      <c r="E44" s="215"/>
      <c r="F44" s="218"/>
      <c r="G44" s="219"/>
    </row>
    <row r="45" spans="1:7" x14ac:dyDescent="0.2">
      <c r="A45" s="672" t="s">
        <v>146</v>
      </c>
      <c r="B45" s="217"/>
      <c r="C45" s="543"/>
      <c r="D45" s="673"/>
      <c r="E45" s="215"/>
      <c r="F45" s="218"/>
      <c r="G45" s="219"/>
    </row>
    <row r="46" spans="1:7" ht="13.5" thickBot="1" x14ac:dyDescent="0.25">
      <c r="A46" s="672" t="s">
        <v>147</v>
      </c>
      <c r="B46" s="539" t="s">
        <v>432</v>
      </c>
      <c r="C46" s="546">
        <f>C27+C43</f>
        <v>307897984</v>
      </c>
      <c r="D46" s="642">
        <f>D27+D43</f>
        <v>1044323608</v>
      </c>
      <c r="E46" s="226"/>
      <c r="F46" s="227"/>
      <c r="G46" s="219"/>
    </row>
    <row r="47" spans="1:7" x14ac:dyDescent="0.2">
      <c r="A47" s="232"/>
      <c r="B47" s="233"/>
      <c r="C47" s="234"/>
      <c r="D47" s="215"/>
      <c r="E47" s="215"/>
    </row>
    <row r="48" spans="1:7" x14ac:dyDescent="0.2">
      <c r="A48" s="235"/>
      <c r="B48" s="236"/>
      <c r="C48" s="237"/>
      <c r="D48" s="237"/>
      <c r="E48" s="226"/>
    </row>
    <row r="49" spans="1:5" x14ac:dyDescent="0.2">
      <c r="A49" s="235"/>
      <c r="B49" s="236"/>
      <c r="C49" s="237"/>
      <c r="D49" s="237"/>
      <c r="E49" s="226"/>
    </row>
    <row r="50" spans="1:5" x14ac:dyDescent="0.2">
      <c r="A50" s="235"/>
      <c r="B50" s="236"/>
      <c r="C50" s="237"/>
      <c r="D50" s="237"/>
      <c r="E50" s="226"/>
    </row>
    <row r="51" spans="1:5" x14ac:dyDescent="0.2">
      <c r="A51" s="235"/>
      <c r="B51" s="236"/>
      <c r="C51" s="237"/>
      <c r="D51" s="237"/>
      <c r="E51" s="226"/>
    </row>
    <row r="52" spans="1:5" ht="18" customHeight="1" x14ac:dyDescent="0.2">
      <c r="A52" s="235"/>
      <c r="B52" s="238"/>
      <c r="C52" s="239"/>
      <c r="D52" s="237"/>
      <c r="E52" s="226"/>
    </row>
    <row r="53" spans="1:5" ht="18" customHeight="1" x14ac:dyDescent="0.2">
      <c r="A53" s="240"/>
      <c r="B53" s="241"/>
      <c r="C53" s="242"/>
      <c r="D53" s="242"/>
      <c r="E53" s="243"/>
    </row>
    <row r="54" spans="1:5" x14ac:dyDescent="0.2">
      <c r="A54" s="240"/>
      <c r="B54" s="244"/>
      <c r="C54" s="245"/>
      <c r="D54" s="242"/>
      <c r="E54" s="243"/>
    </row>
    <row r="55" spans="1:5" x14ac:dyDescent="0.2">
      <c r="A55" s="240"/>
      <c r="B55" s="244"/>
      <c r="C55" s="245"/>
      <c r="D55" s="242"/>
      <c r="E55" s="243"/>
    </row>
    <row r="56" spans="1:5" x14ac:dyDescent="0.2">
      <c r="A56" s="246"/>
      <c r="B56" s="247"/>
      <c r="C56" s="248"/>
      <c r="D56" s="248"/>
      <c r="E56" s="248"/>
    </row>
    <row r="57" spans="1:5" x14ac:dyDescent="0.2">
      <c r="A57" s="246"/>
      <c r="B57" s="249"/>
      <c r="C57" s="248"/>
      <c r="D57" s="250"/>
      <c r="E57" s="251"/>
    </row>
    <row r="58" spans="1:5" x14ac:dyDescent="0.2">
      <c r="A58" s="240"/>
      <c r="B58" s="241"/>
      <c r="C58" s="252"/>
      <c r="D58" s="252"/>
      <c r="E58" s="243"/>
    </row>
    <row r="59" spans="1:5" x14ac:dyDescent="0.2">
      <c r="A59" s="246"/>
      <c r="B59" s="241"/>
      <c r="C59" s="252"/>
      <c r="D59" s="252"/>
      <c r="E59" s="252"/>
    </row>
    <row r="60" spans="1:5" x14ac:dyDescent="0.2">
      <c r="A60" s="240"/>
      <c r="B60" s="241"/>
      <c r="C60" s="252"/>
      <c r="D60" s="252"/>
      <c r="E60" s="252"/>
    </row>
    <row r="61" spans="1:5" x14ac:dyDescent="0.2">
      <c r="A61" s="240"/>
      <c r="B61" s="241"/>
      <c r="C61" s="252"/>
      <c r="D61" s="252"/>
      <c r="E61" s="252"/>
    </row>
    <row r="62" spans="1:5" x14ac:dyDescent="0.2">
      <c r="A62" s="240"/>
      <c r="B62" s="241"/>
      <c r="C62" s="252"/>
      <c r="D62" s="252"/>
      <c r="E62" s="252"/>
    </row>
    <row r="63" spans="1:5" x14ac:dyDescent="0.2">
      <c r="A63" s="246"/>
      <c r="B63" s="241"/>
      <c r="C63" s="252"/>
      <c r="D63" s="252"/>
      <c r="E63" s="252"/>
    </row>
    <row r="64" spans="1:5" x14ac:dyDescent="0.2">
      <c r="A64" s="240"/>
      <c r="B64" s="253"/>
      <c r="C64" s="250"/>
      <c r="D64" s="250"/>
      <c r="E64" s="251"/>
    </row>
    <row r="65" spans="1:5" x14ac:dyDescent="0.2">
      <c r="A65" s="240"/>
      <c r="B65" s="241"/>
      <c r="C65" s="252"/>
      <c r="D65" s="252"/>
      <c r="E65" s="243"/>
    </row>
    <row r="66" spans="1:5" x14ac:dyDescent="0.2">
      <c r="A66" s="240"/>
      <c r="B66" s="253"/>
      <c r="C66" s="245"/>
      <c r="D66" s="245"/>
      <c r="E66" s="243"/>
    </row>
    <row r="67" spans="1:5" x14ac:dyDescent="0.2">
      <c r="A67" s="240"/>
      <c r="B67" s="241"/>
      <c r="C67" s="242"/>
      <c r="D67" s="242"/>
      <c r="E67" s="243"/>
    </row>
    <row r="68" spans="1:5" x14ac:dyDescent="0.2">
      <c r="A68" s="240"/>
      <c r="B68" s="241"/>
      <c r="C68" s="242"/>
      <c r="D68" s="242"/>
      <c r="E68" s="243"/>
    </row>
    <row r="69" spans="1:5" x14ac:dyDescent="0.2">
      <c r="A69" s="240"/>
      <c r="B69" s="241"/>
      <c r="C69" s="242"/>
      <c r="D69" s="242"/>
      <c r="E69" s="251"/>
    </row>
    <row r="70" spans="1:5" x14ac:dyDescent="0.2">
      <c r="A70" s="240"/>
      <c r="B70" s="241"/>
      <c r="C70" s="242"/>
      <c r="D70" s="242"/>
      <c r="E70" s="243"/>
    </row>
    <row r="71" spans="1:5" x14ac:dyDescent="0.2">
      <c r="A71" s="240"/>
      <c r="B71" s="241"/>
      <c r="C71" s="242"/>
      <c r="D71" s="242"/>
      <c r="E71" s="243"/>
    </row>
    <row r="72" spans="1:5" x14ac:dyDescent="0.2">
      <c r="A72" s="240"/>
      <c r="B72" s="254"/>
      <c r="C72" s="245"/>
      <c r="D72" s="245"/>
      <c r="E72" s="243"/>
    </row>
    <row r="73" spans="1:5" x14ac:dyDescent="0.2">
      <c r="A73" s="246"/>
      <c r="B73" s="244"/>
      <c r="C73" s="255"/>
      <c r="E73" s="243"/>
    </row>
    <row r="74" spans="1:5" x14ac:dyDescent="0.2">
      <c r="A74" s="246"/>
      <c r="B74" s="257"/>
      <c r="C74" s="246"/>
      <c r="E74" s="243"/>
    </row>
    <row r="75" spans="1:5" x14ac:dyDescent="0.2">
      <c r="A75" s="246"/>
      <c r="B75" s="258"/>
      <c r="C75" s="246"/>
      <c r="E75" s="243"/>
    </row>
    <row r="76" spans="1:5" x14ac:dyDescent="0.2">
      <c r="B76" s="257"/>
      <c r="C76" s="259"/>
      <c r="D76" s="251"/>
      <c r="E76" s="243"/>
    </row>
    <row r="77" spans="1:5" x14ac:dyDescent="0.2">
      <c r="A77" s="260"/>
      <c r="B77" s="257"/>
      <c r="C77" s="259"/>
      <c r="D77" s="261"/>
      <c r="E77" s="243"/>
    </row>
    <row r="78" spans="1:5" x14ac:dyDescent="0.2">
      <c r="A78" s="260"/>
      <c r="B78" s="257"/>
      <c r="C78" s="259"/>
      <c r="D78" s="261"/>
      <c r="E78" s="243"/>
    </row>
    <row r="79" spans="1:5" x14ac:dyDescent="0.2">
      <c r="A79" s="260"/>
      <c r="B79" s="257"/>
      <c r="C79" s="259"/>
      <c r="D79" s="255"/>
      <c r="E79" s="243"/>
    </row>
    <row r="80" spans="1:5" x14ac:dyDescent="0.2">
      <c r="A80" s="260"/>
      <c r="B80" s="257"/>
      <c r="C80" s="261"/>
      <c r="D80" s="261"/>
      <c r="E80" s="251"/>
    </row>
    <row r="81" spans="1:5" x14ac:dyDescent="0.2">
      <c r="A81" s="260"/>
      <c r="B81" s="257"/>
      <c r="C81" s="255"/>
      <c r="D81" s="261"/>
      <c r="E81" s="251"/>
    </row>
    <row r="82" spans="1:5" x14ac:dyDescent="0.2">
      <c r="A82" s="260"/>
      <c r="B82" s="257"/>
      <c r="C82" s="255"/>
      <c r="D82" s="261"/>
      <c r="E82" s="251"/>
    </row>
    <row r="83" spans="1:5" x14ac:dyDescent="0.2">
      <c r="A83" s="260"/>
      <c r="B83" s="257"/>
      <c r="C83" s="255"/>
      <c r="D83" s="262"/>
      <c r="E83" s="263"/>
    </row>
    <row r="84" spans="1:5" x14ac:dyDescent="0.2">
      <c r="A84" s="256"/>
      <c r="B84" s="257"/>
      <c r="C84" s="261"/>
      <c r="D84" s="262"/>
      <c r="E84" s="263"/>
    </row>
    <row r="85" spans="1:5" x14ac:dyDescent="0.2">
      <c r="A85" s="260"/>
      <c r="B85" s="264"/>
      <c r="C85" s="265"/>
      <c r="D85" s="262"/>
      <c r="E85" s="263"/>
    </row>
    <row r="86" spans="1:5" x14ac:dyDescent="0.2">
      <c r="A86" s="260"/>
      <c r="B86" s="264"/>
      <c r="C86" s="266"/>
      <c r="D86" s="265"/>
      <c r="E86" s="267"/>
    </row>
    <row r="87" spans="1:5" x14ac:dyDescent="0.2">
      <c r="A87" s="268"/>
      <c r="B87" s="269"/>
      <c r="C87" s="266"/>
      <c r="D87" s="265"/>
      <c r="E87" s="267"/>
    </row>
    <row r="88" spans="1:5" x14ac:dyDescent="0.2">
      <c r="A88" s="270"/>
      <c r="B88" s="264"/>
      <c r="C88" s="265"/>
      <c r="D88" s="265"/>
      <c r="E88" s="267"/>
    </row>
    <row r="89" spans="1:5" x14ac:dyDescent="0.2">
      <c r="A89" s="271"/>
      <c r="B89" s="272"/>
      <c r="C89" s="273"/>
      <c r="D89" s="266"/>
      <c r="E89" s="267"/>
    </row>
    <row r="90" spans="1:5" x14ac:dyDescent="0.2">
      <c r="A90" s="271"/>
      <c r="B90" s="272"/>
      <c r="C90" s="274"/>
      <c r="D90" s="266"/>
      <c r="E90" s="267"/>
    </row>
    <row r="91" spans="1:5" x14ac:dyDescent="0.2">
      <c r="A91" s="240"/>
      <c r="B91" s="241"/>
      <c r="C91" s="265"/>
      <c r="D91" s="265"/>
      <c r="E91" s="263"/>
    </row>
    <row r="92" spans="1:5" x14ac:dyDescent="0.2">
      <c r="A92" s="240"/>
      <c r="B92" s="241"/>
      <c r="C92" s="265"/>
      <c r="D92" s="266"/>
      <c r="E92" s="267"/>
    </row>
    <row r="93" spans="1:5" x14ac:dyDescent="0.2">
      <c r="A93" s="240"/>
      <c r="B93" s="241"/>
      <c r="C93" s="265"/>
      <c r="D93" s="265"/>
      <c r="E93" s="275"/>
    </row>
    <row r="94" spans="1:5" x14ac:dyDescent="0.2">
      <c r="A94" s="240"/>
      <c r="B94" s="241"/>
      <c r="C94" s="265"/>
      <c r="D94" s="265"/>
      <c r="E94" s="267"/>
    </row>
    <row r="95" spans="1:5" x14ac:dyDescent="0.2">
      <c r="A95" s="240"/>
      <c r="B95" s="241"/>
      <c r="C95" s="265"/>
      <c r="D95" s="265"/>
      <c r="E95" s="267"/>
    </row>
    <row r="96" spans="1:5" x14ac:dyDescent="0.2">
      <c r="A96" s="240"/>
      <c r="B96" s="241"/>
      <c r="C96" s="265"/>
      <c r="D96" s="265"/>
      <c r="E96" s="276"/>
    </row>
    <row r="97" spans="1:5" x14ac:dyDescent="0.2">
      <c r="A97" s="240"/>
      <c r="B97" s="241"/>
      <c r="C97" s="265"/>
      <c r="D97" s="265"/>
      <c r="E97" s="265"/>
    </row>
    <row r="98" spans="1:5" x14ac:dyDescent="0.2">
      <c r="A98" s="240"/>
      <c r="B98" s="241"/>
      <c r="C98" s="265"/>
      <c r="D98" s="265"/>
      <c r="E98" s="265"/>
    </row>
    <row r="99" spans="1:5" x14ac:dyDescent="0.2">
      <c r="A99" s="240"/>
      <c r="B99" s="241"/>
      <c r="C99" s="265"/>
      <c r="D99" s="265"/>
      <c r="E99" s="265"/>
    </row>
    <row r="100" spans="1:5" x14ac:dyDescent="0.2">
      <c r="A100" s="240"/>
      <c r="B100" s="241"/>
      <c r="C100" s="265"/>
      <c r="D100" s="265"/>
      <c r="E100" s="265"/>
    </row>
    <row r="101" spans="1:5" x14ac:dyDescent="0.2">
      <c r="A101" s="240"/>
      <c r="B101" s="241"/>
      <c r="C101" s="265"/>
      <c r="D101" s="265"/>
      <c r="E101" s="265"/>
    </row>
    <row r="102" spans="1:5" x14ac:dyDescent="0.2">
      <c r="A102" s="240"/>
      <c r="B102" s="241"/>
      <c r="C102" s="265"/>
      <c r="D102" s="265"/>
      <c r="E102" s="265"/>
    </row>
    <row r="103" spans="1:5" x14ac:dyDescent="0.2">
      <c r="A103" s="240"/>
      <c r="B103" s="241"/>
      <c r="C103" s="265"/>
      <c r="D103" s="265"/>
      <c r="E103" s="265"/>
    </row>
    <row r="104" spans="1:5" x14ac:dyDescent="0.2">
      <c r="A104" s="240"/>
      <c r="B104" s="241"/>
      <c r="C104" s="265"/>
      <c r="D104" s="265"/>
      <c r="E104" s="265"/>
    </row>
    <row r="105" spans="1:5" x14ac:dyDescent="0.2">
      <c r="A105" s="240"/>
      <c r="B105" s="241"/>
      <c r="C105" s="265"/>
      <c r="D105" s="265"/>
      <c r="E105" s="265"/>
    </row>
    <row r="106" spans="1:5" x14ac:dyDescent="0.2">
      <c r="C106" s="278"/>
      <c r="D106" s="265"/>
      <c r="E106" s="278"/>
    </row>
    <row r="107" spans="1:5" x14ac:dyDescent="0.2">
      <c r="C107" s="216"/>
      <c r="D107" s="265"/>
      <c r="E107" s="278"/>
    </row>
    <row r="108" spans="1:5" x14ac:dyDescent="0.2">
      <c r="C108" s="216"/>
      <c r="D108" s="265"/>
      <c r="E108" s="278"/>
    </row>
    <row r="109" spans="1:5" x14ac:dyDescent="0.2">
      <c r="C109" s="216"/>
      <c r="D109" s="278"/>
      <c r="E109" s="278"/>
    </row>
    <row r="110" spans="1:5" x14ac:dyDescent="0.2">
      <c r="C110" s="216"/>
      <c r="D110" s="216"/>
      <c r="E110" s="278"/>
    </row>
    <row r="111" spans="1:5" x14ac:dyDescent="0.2">
      <c r="C111" s="216"/>
      <c r="D111" s="216"/>
      <c r="E111" s="216"/>
    </row>
    <row r="112" spans="1:5" x14ac:dyDescent="0.2">
      <c r="C112" s="216"/>
      <c r="D112" s="216"/>
      <c r="E112" s="216"/>
    </row>
    <row r="113" spans="3:5" x14ac:dyDescent="0.2">
      <c r="C113" s="216"/>
      <c r="D113" s="216"/>
      <c r="E113" s="216"/>
    </row>
    <row r="114" spans="3:5" x14ac:dyDescent="0.2">
      <c r="C114" s="216"/>
      <c r="D114" s="216"/>
      <c r="E114" s="216"/>
    </row>
    <row r="115" spans="3:5" x14ac:dyDescent="0.2">
      <c r="C115" s="216"/>
      <c r="D115" s="216"/>
      <c r="E115" s="216"/>
    </row>
    <row r="116" spans="3:5" x14ac:dyDescent="0.2">
      <c r="C116" s="216"/>
      <c r="D116" s="216"/>
      <c r="E116" s="216"/>
    </row>
    <row r="117" spans="3:5" x14ac:dyDescent="0.2">
      <c r="C117" s="216"/>
      <c r="D117" s="216"/>
      <c r="E117" s="216"/>
    </row>
    <row r="118" spans="3:5" x14ac:dyDescent="0.2">
      <c r="C118" s="216"/>
      <c r="D118" s="216"/>
      <c r="E118" s="216"/>
    </row>
    <row r="119" spans="3:5" x14ac:dyDescent="0.2">
      <c r="C119" s="216"/>
      <c r="D119" s="216"/>
      <c r="E119" s="216"/>
    </row>
    <row r="120" spans="3:5" x14ac:dyDescent="0.2">
      <c r="C120" s="216"/>
      <c r="D120" s="216"/>
      <c r="E120" s="216"/>
    </row>
    <row r="121" spans="3:5" x14ac:dyDescent="0.2">
      <c r="C121" s="216"/>
      <c r="D121" s="216"/>
      <c r="E121" s="216"/>
    </row>
    <row r="122" spans="3:5" x14ac:dyDescent="0.2">
      <c r="C122" s="216"/>
      <c r="D122" s="216"/>
      <c r="E122" s="216"/>
    </row>
    <row r="123" spans="3:5" x14ac:dyDescent="0.2">
      <c r="C123" s="216"/>
      <c r="D123" s="216"/>
      <c r="E123" s="216"/>
    </row>
    <row r="124" spans="3:5" x14ac:dyDescent="0.2">
      <c r="C124" s="216"/>
      <c r="D124" s="216"/>
      <c r="E124" s="216"/>
    </row>
    <row r="125" spans="3:5" x14ac:dyDescent="0.2">
      <c r="C125" s="216"/>
      <c r="D125" s="216"/>
      <c r="E125" s="216"/>
    </row>
    <row r="126" spans="3:5" x14ac:dyDescent="0.2">
      <c r="C126" s="216"/>
      <c r="D126" s="216"/>
      <c r="E126" s="216"/>
    </row>
    <row r="127" spans="3:5" x14ac:dyDescent="0.2">
      <c r="C127" s="216"/>
      <c r="D127" s="216"/>
      <c r="E127" s="216"/>
    </row>
    <row r="128" spans="3:5" x14ac:dyDescent="0.2">
      <c r="C128" s="216"/>
      <c r="D128" s="216"/>
      <c r="E128" s="216"/>
    </row>
    <row r="129" spans="3:5" x14ac:dyDescent="0.2">
      <c r="C129" s="216"/>
      <c r="D129" s="216"/>
      <c r="E129" s="216"/>
    </row>
    <row r="130" spans="3:5" x14ac:dyDescent="0.2">
      <c r="C130" s="216"/>
      <c r="D130" s="216"/>
      <c r="E130" s="216"/>
    </row>
    <row r="131" spans="3:5" x14ac:dyDescent="0.2">
      <c r="C131" s="216"/>
      <c r="D131" s="216"/>
      <c r="E131" s="216"/>
    </row>
    <row r="132" spans="3:5" x14ac:dyDescent="0.2">
      <c r="C132" s="216"/>
      <c r="D132" s="216"/>
      <c r="E132" s="216"/>
    </row>
    <row r="133" spans="3:5" x14ac:dyDescent="0.2">
      <c r="C133" s="216"/>
      <c r="D133" s="216"/>
      <c r="E133" s="216"/>
    </row>
    <row r="134" spans="3:5" x14ac:dyDescent="0.2">
      <c r="C134" s="216"/>
      <c r="D134" s="216"/>
      <c r="E134" s="216"/>
    </row>
    <row r="135" spans="3:5" x14ac:dyDescent="0.2">
      <c r="C135" s="216"/>
      <c r="D135" s="216"/>
      <c r="E135" s="216"/>
    </row>
    <row r="136" spans="3:5" x14ac:dyDescent="0.2">
      <c r="C136" s="216"/>
      <c r="D136" s="216"/>
      <c r="E136" s="216"/>
    </row>
    <row r="137" spans="3:5" x14ac:dyDescent="0.2">
      <c r="C137" s="216"/>
      <c r="D137" s="216"/>
      <c r="E137" s="216"/>
    </row>
    <row r="138" spans="3:5" x14ac:dyDescent="0.2">
      <c r="C138" s="216"/>
      <c r="D138" s="216"/>
      <c r="E138" s="216"/>
    </row>
    <row r="139" spans="3:5" x14ac:dyDescent="0.2">
      <c r="D139" s="216"/>
      <c r="E139" s="216"/>
    </row>
    <row r="140" spans="3:5" x14ac:dyDescent="0.2">
      <c r="D140" s="216"/>
      <c r="E140" s="216"/>
    </row>
    <row r="141" spans="3:5" x14ac:dyDescent="0.2">
      <c r="D141" s="216"/>
      <c r="E141" s="216"/>
    </row>
    <row r="142" spans="3:5" x14ac:dyDescent="0.2">
      <c r="E142" s="216"/>
    </row>
  </sheetData>
  <mergeCells count="4">
    <mergeCell ref="A1:D1"/>
    <mergeCell ref="A3:D3"/>
    <mergeCell ref="A5:D5"/>
    <mergeCell ref="C7:D7"/>
  </mergeCells>
  <printOptions horizontalCentered="1"/>
  <pageMargins left="0.74803149606299213" right="0.74803149606299213" top="0.19685039370078741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R51"/>
  <sheetViews>
    <sheetView zoomScaleNormal="100" workbookViewId="0">
      <selection activeCell="J14" sqref="J14"/>
    </sheetView>
  </sheetViews>
  <sheetFormatPr defaultColWidth="9.140625" defaultRowHeight="12.75" x14ac:dyDescent="0.2"/>
  <cols>
    <col min="1" max="1" width="7" style="297" customWidth="1"/>
    <col min="2" max="2" width="35.140625" style="216" customWidth="1"/>
    <col min="3" max="3" width="16.5703125" style="216" customWidth="1"/>
    <col min="4" max="4" width="13.42578125" style="216" customWidth="1"/>
    <col min="5" max="16384" width="9.140625" style="216"/>
  </cols>
  <sheetData>
    <row r="1" spans="1:18" s="201" customFormat="1" ht="27.75" customHeight="1" x14ac:dyDescent="0.2">
      <c r="A1" s="787"/>
      <c r="B1" s="788"/>
      <c r="C1" s="788"/>
      <c r="D1" s="788"/>
      <c r="E1" s="199"/>
      <c r="F1" s="199"/>
      <c r="G1" s="199"/>
      <c r="H1" s="199"/>
      <c r="I1" s="199"/>
      <c r="J1" s="200"/>
      <c r="K1" s="200"/>
      <c r="L1" s="200"/>
      <c r="M1" s="200"/>
      <c r="N1" s="200"/>
      <c r="O1" s="200"/>
      <c r="P1" s="200"/>
      <c r="Q1" s="200"/>
      <c r="R1" s="200"/>
    </row>
    <row r="2" spans="1:18" s="201" customFormat="1" ht="12" x14ac:dyDescent="0.2">
      <c r="A2" s="202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4"/>
    </row>
    <row r="3" spans="1:18" s="201" customFormat="1" ht="28.5" customHeight="1" x14ac:dyDescent="0.2">
      <c r="A3" s="793" t="s">
        <v>512</v>
      </c>
      <c r="B3" s="794"/>
      <c r="C3" s="794"/>
      <c r="D3" s="794"/>
      <c r="E3" s="205"/>
      <c r="F3" s="205"/>
      <c r="G3" s="205"/>
      <c r="H3" s="205"/>
      <c r="I3" s="205"/>
      <c r="J3" s="200"/>
      <c r="K3" s="200"/>
      <c r="L3" s="200"/>
      <c r="M3" s="200"/>
      <c r="N3" s="200"/>
      <c r="O3" s="200"/>
      <c r="P3" s="200"/>
      <c r="Q3" s="200"/>
      <c r="R3" s="200"/>
    </row>
    <row r="4" spans="1:18" s="201" customFormat="1" ht="12" x14ac:dyDescent="0.2">
      <c r="A4" s="206"/>
      <c r="B4" s="207"/>
      <c r="C4" s="207"/>
      <c r="D4" s="207"/>
      <c r="E4" s="207"/>
      <c r="F4" s="207"/>
      <c r="G4" s="207"/>
      <c r="H4" s="207"/>
      <c r="I4" s="207"/>
      <c r="J4" s="208"/>
      <c r="K4" s="204"/>
      <c r="L4" s="204"/>
      <c r="M4" s="204"/>
      <c r="N4" s="204"/>
      <c r="O4" s="204"/>
      <c r="P4" s="204"/>
      <c r="Q4" s="204"/>
      <c r="R4" s="204"/>
    </row>
    <row r="5" spans="1:18" s="201" customFormat="1" ht="33" customHeight="1" x14ac:dyDescent="0.25">
      <c r="A5" s="791" t="s">
        <v>443</v>
      </c>
      <c r="B5" s="792"/>
      <c r="C5" s="792"/>
      <c r="D5" s="792"/>
      <c r="E5" s="209"/>
      <c r="F5" s="209"/>
      <c r="G5" s="209"/>
      <c r="H5" s="209"/>
      <c r="I5" s="209"/>
      <c r="J5" s="210"/>
      <c r="K5" s="210"/>
      <c r="L5" s="210"/>
      <c r="M5" s="210"/>
      <c r="N5" s="210"/>
      <c r="O5" s="210"/>
      <c r="P5" s="210"/>
      <c r="Q5" s="210"/>
      <c r="R5" s="210"/>
    </row>
    <row r="6" spans="1:18" s="201" customFormat="1" ht="12" x14ac:dyDescent="0.2">
      <c r="A6" s="206"/>
      <c r="B6" s="207"/>
      <c r="C6" s="207"/>
      <c r="D6" s="207"/>
      <c r="E6" s="207"/>
      <c r="F6" s="207"/>
      <c r="G6" s="207"/>
      <c r="H6" s="207"/>
      <c r="I6" s="207"/>
      <c r="J6" s="208"/>
      <c r="K6" s="204"/>
      <c r="L6" s="204"/>
      <c r="M6" s="204"/>
      <c r="N6" s="204"/>
      <c r="O6" s="204"/>
      <c r="P6" s="204"/>
      <c r="Q6" s="204"/>
      <c r="R6" s="204"/>
    </row>
    <row r="7" spans="1:18" s="201" customFormat="1" ht="13.5" thickBot="1" x14ac:dyDescent="0.25">
      <c r="A7" s="211"/>
      <c r="B7" s="211"/>
      <c r="C7" s="782" t="s">
        <v>429</v>
      </c>
      <c r="D7" s="782"/>
      <c r="E7" s="211"/>
      <c r="F7" s="211"/>
      <c r="G7" s="211"/>
      <c r="H7" s="211"/>
      <c r="I7" s="200"/>
      <c r="J7" s="200"/>
      <c r="K7" s="200"/>
      <c r="L7" s="200"/>
      <c r="M7" s="200"/>
      <c r="N7" s="200"/>
      <c r="O7" s="200"/>
      <c r="P7" s="200"/>
      <c r="Q7" s="200"/>
      <c r="R7" s="200"/>
    </row>
    <row r="8" spans="1:18" s="201" customFormat="1" x14ac:dyDescent="0.2">
      <c r="A8" s="698" t="s">
        <v>57</v>
      </c>
      <c r="B8" s="699" t="s">
        <v>65</v>
      </c>
      <c r="C8" s="699" t="s">
        <v>58</v>
      </c>
      <c r="D8" s="700" t="s">
        <v>59</v>
      </c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</row>
    <row r="9" spans="1:18" ht="15.75" x14ac:dyDescent="0.25">
      <c r="A9" s="701" t="s">
        <v>271</v>
      </c>
      <c r="B9" s="563" t="s">
        <v>272</v>
      </c>
      <c r="C9" s="564" t="s">
        <v>273</v>
      </c>
      <c r="D9" s="702" t="s">
        <v>270</v>
      </c>
      <c r="E9" s="565"/>
      <c r="F9" s="565"/>
      <c r="G9" s="565"/>
      <c r="H9" s="565"/>
    </row>
    <row r="10" spans="1:18" ht="31.35" customHeight="1" x14ac:dyDescent="0.2">
      <c r="A10" s="703">
        <v>1</v>
      </c>
      <c r="B10" s="279" t="s">
        <v>274</v>
      </c>
      <c r="C10" s="280">
        <f>'3.mellékletPH.bev.'!P9</f>
        <v>121186622</v>
      </c>
      <c r="D10" s="704">
        <f>'6.melléklet.Kiadások.Önk.'!AG53</f>
        <v>120105010</v>
      </c>
    </row>
    <row r="11" spans="1:18" ht="31.35" customHeight="1" x14ac:dyDescent="0.2">
      <c r="A11" s="703">
        <v>2</v>
      </c>
      <c r="B11" s="281" t="s">
        <v>275</v>
      </c>
      <c r="C11" s="282">
        <f>'5. Óvoda bev'!P7</f>
        <v>183365842</v>
      </c>
      <c r="D11" s="704">
        <f>'6.melléklet.Kiadások.Önk.'!AG56</f>
        <v>191963493</v>
      </c>
      <c r="E11" s="283"/>
    </row>
    <row r="12" spans="1:18" ht="31.35" customHeight="1" x14ac:dyDescent="0.2">
      <c r="A12" s="703">
        <v>3</v>
      </c>
      <c r="B12" s="281" t="s">
        <v>276</v>
      </c>
      <c r="C12" s="282">
        <f>'4 ESZI bev'!P17</f>
        <v>182213404</v>
      </c>
      <c r="D12" s="704">
        <f ca="1">'6.melléklet.Kiadások.Önk.'!AG59</f>
        <v>214865928</v>
      </c>
      <c r="E12" s="283"/>
    </row>
    <row r="13" spans="1:18" ht="16.5" thickBot="1" x14ac:dyDescent="0.3">
      <c r="A13" s="705"/>
      <c r="B13" s="706" t="s">
        <v>68</v>
      </c>
      <c r="C13" s="707">
        <f>C10+C11+C12</f>
        <v>486765868</v>
      </c>
      <c r="D13" s="708">
        <f ca="1">D10+D11+D12</f>
        <v>526934431</v>
      </c>
      <c r="E13" s="283"/>
    </row>
    <row r="14" spans="1:18" ht="15.75" x14ac:dyDescent="0.25">
      <c r="A14" s="284"/>
      <c r="B14" s="285"/>
      <c r="C14" s="286"/>
    </row>
    <row r="15" spans="1:18" x14ac:dyDescent="0.2">
      <c r="A15" s="287"/>
      <c r="B15" s="288"/>
      <c r="C15" s="286"/>
      <c r="E15" s="283"/>
    </row>
    <row r="16" spans="1:18" x14ac:dyDescent="0.2">
      <c r="A16" s="287"/>
      <c r="B16" s="288"/>
      <c r="C16" s="286"/>
    </row>
    <row r="17" spans="1:3" x14ac:dyDescent="0.2">
      <c r="A17" s="289"/>
      <c r="B17" s="290"/>
      <c r="C17" s="286"/>
    </row>
    <row r="18" spans="1:3" x14ac:dyDescent="0.2">
      <c r="A18" s="291"/>
      <c r="B18" s="292"/>
      <c r="C18" s="286"/>
    </row>
    <row r="19" spans="1:3" x14ac:dyDescent="0.2">
      <c r="A19" s="289"/>
      <c r="B19" s="293"/>
      <c r="C19" s="286"/>
    </row>
    <row r="20" spans="1:3" x14ac:dyDescent="0.2">
      <c r="A20" s="289"/>
      <c r="B20" s="290"/>
    </row>
    <row r="21" spans="1:3" x14ac:dyDescent="0.2">
      <c r="A21" s="289"/>
      <c r="B21" s="290"/>
      <c r="C21" s="294"/>
    </row>
    <row r="22" spans="1:3" x14ac:dyDescent="0.2">
      <c r="A22" s="289"/>
      <c r="B22" s="290"/>
    </row>
    <row r="23" spans="1:3" x14ac:dyDescent="0.2">
      <c r="A23" s="289"/>
      <c r="B23" s="290"/>
      <c r="C23" s="294"/>
    </row>
    <row r="24" spans="1:3" x14ac:dyDescent="0.2">
      <c r="A24" s="289"/>
      <c r="B24" s="290"/>
    </row>
    <row r="25" spans="1:3" x14ac:dyDescent="0.2">
      <c r="A25" s="289"/>
      <c r="B25" s="290"/>
    </row>
    <row r="26" spans="1:3" x14ac:dyDescent="0.2">
      <c r="A26" s="289"/>
      <c r="B26" s="290"/>
    </row>
    <row r="27" spans="1:3" x14ac:dyDescent="0.2">
      <c r="A27" s="289"/>
      <c r="B27" s="290"/>
    </row>
    <row r="28" spans="1:3" x14ac:dyDescent="0.2">
      <c r="A28" s="289"/>
      <c r="B28" s="290"/>
    </row>
    <row r="29" spans="1:3" x14ac:dyDescent="0.2">
      <c r="A29" s="289"/>
      <c r="B29" s="290"/>
    </row>
    <row r="30" spans="1:3" x14ac:dyDescent="0.2">
      <c r="A30" s="289"/>
      <c r="B30" s="295"/>
    </row>
    <row r="31" spans="1:3" x14ac:dyDescent="0.2">
      <c r="A31" s="289"/>
      <c r="B31" s="290"/>
    </row>
    <row r="32" spans="1:3" x14ac:dyDescent="0.2">
      <c r="A32" s="296"/>
      <c r="B32" s="290"/>
    </row>
    <row r="33" spans="1:2" x14ac:dyDescent="0.2">
      <c r="A33" s="296"/>
      <c r="B33" s="290"/>
    </row>
    <row r="34" spans="1:2" x14ac:dyDescent="0.2">
      <c r="A34" s="296"/>
      <c r="B34" s="290"/>
    </row>
    <row r="35" spans="1:2" x14ac:dyDescent="0.2">
      <c r="A35" s="296"/>
      <c r="B35" s="290"/>
    </row>
    <row r="36" spans="1:2" x14ac:dyDescent="0.2">
      <c r="B36" s="290"/>
    </row>
    <row r="37" spans="1:2" x14ac:dyDescent="0.2">
      <c r="B37" s="290"/>
    </row>
    <row r="38" spans="1:2" x14ac:dyDescent="0.2">
      <c r="B38" s="290"/>
    </row>
    <row r="39" spans="1:2" x14ac:dyDescent="0.2">
      <c r="B39" s="290"/>
    </row>
    <row r="40" spans="1:2" x14ac:dyDescent="0.2">
      <c r="B40" s="290"/>
    </row>
    <row r="41" spans="1:2" x14ac:dyDescent="0.2">
      <c r="B41" s="290"/>
    </row>
    <row r="42" spans="1:2" x14ac:dyDescent="0.2">
      <c r="B42" s="290"/>
    </row>
    <row r="43" spans="1:2" x14ac:dyDescent="0.2">
      <c r="B43" s="290"/>
    </row>
    <row r="44" spans="1:2" x14ac:dyDescent="0.2">
      <c r="B44" s="290"/>
    </row>
    <row r="45" spans="1:2" x14ac:dyDescent="0.2">
      <c r="B45" s="290"/>
    </row>
    <row r="46" spans="1:2" x14ac:dyDescent="0.2">
      <c r="B46" s="290"/>
    </row>
    <row r="47" spans="1:2" x14ac:dyDescent="0.2">
      <c r="B47" s="290"/>
    </row>
    <row r="48" spans="1:2" x14ac:dyDescent="0.2">
      <c r="B48" s="290"/>
    </row>
    <row r="49" spans="2:2" x14ac:dyDescent="0.2">
      <c r="B49" s="290"/>
    </row>
    <row r="50" spans="2:2" x14ac:dyDescent="0.2">
      <c r="B50" s="290"/>
    </row>
    <row r="51" spans="2:2" x14ac:dyDescent="0.2">
      <c r="B51" s="290"/>
    </row>
  </sheetData>
  <mergeCells count="4">
    <mergeCell ref="A1:D1"/>
    <mergeCell ref="A3:D3"/>
    <mergeCell ref="A5:D5"/>
    <mergeCell ref="C7:D7"/>
  </mergeCells>
  <printOptions horizontalCentered="1"/>
  <pageMargins left="0.74803149606299213" right="1.1417322834645669" top="0.19685039370078741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R75"/>
  <sheetViews>
    <sheetView topLeftCell="A4" zoomScaleNormal="100" workbookViewId="0">
      <selection activeCell="E15" sqref="E14:F16"/>
    </sheetView>
  </sheetViews>
  <sheetFormatPr defaultColWidth="9.140625" defaultRowHeight="12.75" x14ac:dyDescent="0.2"/>
  <cols>
    <col min="1" max="1" width="6" style="216" customWidth="1"/>
    <col min="2" max="2" width="55.85546875" style="216" customWidth="1"/>
    <col min="3" max="3" width="12" style="216" customWidth="1"/>
    <col min="4" max="4" width="10.5703125" style="216" customWidth="1"/>
    <col min="5" max="6" width="9.140625" style="216"/>
    <col min="7" max="7" width="22.42578125" style="216" customWidth="1"/>
    <col min="8" max="16384" width="9.140625" style="216"/>
  </cols>
  <sheetData>
    <row r="1" spans="1:18" s="201" customFormat="1" ht="27.75" customHeight="1" x14ac:dyDescent="0.2">
      <c r="A1" s="787"/>
      <c r="B1" s="788"/>
      <c r="C1" s="788"/>
      <c r="D1" s="788"/>
      <c r="E1" s="199"/>
      <c r="F1" s="199"/>
      <c r="G1" s="199"/>
      <c r="H1" s="199"/>
      <c r="I1" s="199"/>
      <c r="J1" s="200"/>
      <c r="K1" s="200"/>
      <c r="L1" s="200"/>
      <c r="M1" s="200"/>
      <c r="N1" s="200"/>
      <c r="O1" s="200"/>
      <c r="P1" s="200"/>
      <c r="Q1" s="200"/>
      <c r="R1" s="200"/>
    </row>
    <row r="2" spans="1:18" s="201" customFormat="1" ht="12" x14ac:dyDescent="0.2">
      <c r="A2" s="202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4"/>
    </row>
    <row r="3" spans="1:18" s="201" customFormat="1" ht="28.5" customHeight="1" x14ac:dyDescent="0.2">
      <c r="A3" s="789" t="s">
        <v>557</v>
      </c>
      <c r="B3" s="790"/>
      <c r="C3" s="790"/>
      <c r="D3" s="790"/>
      <c r="E3" s="205"/>
      <c r="F3" s="205"/>
      <c r="G3" s="205"/>
      <c r="H3" s="205"/>
      <c r="I3" s="205"/>
      <c r="J3" s="200"/>
      <c r="K3" s="200"/>
      <c r="L3" s="200"/>
      <c r="M3" s="200"/>
      <c r="N3" s="200"/>
      <c r="O3" s="200"/>
      <c r="P3" s="200"/>
      <c r="Q3" s="200"/>
      <c r="R3" s="200"/>
    </row>
    <row r="4" spans="1:18" s="201" customFormat="1" ht="12" x14ac:dyDescent="0.2">
      <c r="A4" s="206"/>
      <c r="B4" s="207"/>
      <c r="C4" s="207"/>
      <c r="D4" s="207"/>
      <c r="E4" s="207"/>
      <c r="F4" s="207"/>
      <c r="G4" s="207"/>
      <c r="H4" s="207"/>
      <c r="I4" s="207"/>
      <c r="J4" s="208"/>
      <c r="K4" s="204"/>
      <c r="L4" s="204"/>
      <c r="M4" s="204"/>
      <c r="N4" s="204"/>
      <c r="O4" s="204"/>
      <c r="P4" s="204"/>
      <c r="Q4" s="204"/>
      <c r="R4" s="204"/>
    </row>
    <row r="5" spans="1:18" s="201" customFormat="1" ht="33" customHeight="1" x14ac:dyDescent="0.25">
      <c r="A5" s="791" t="s">
        <v>277</v>
      </c>
      <c r="B5" s="792"/>
      <c r="C5" s="792"/>
      <c r="D5" s="792"/>
      <c r="E5" s="209"/>
      <c r="F5" s="209"/>
      <c r="G5" s="209"/>
      <c r="H5" s="209"/>
      <c r="I5" s="209"/>
      <c r="J5" s="210"/>
      <c r="K5" s="210"/>
      <c r="L5" s="210"/>
      <c r="M5" s="210"/>
      <c r="N5" s="210"/>
      <c r="O5" s="210"/>
      <c r="P5" s="210"/>
      <c r="Q5" s="210"/>
      <c r="R5" s="210"/>
    </row>
    <row r="6" spans="1:18" s="201" customFormat="1" ht="12" x14ac:dyDescent="0.2">
      <c r="A6" s="206"/>
      <c r="B6" s="207"/>
      <c r="C6" s="207"/>
      <c r="D6" s="207"/>
      <c r="E6" s="608"/>
      <c r="F6" s="608"/>
      <c r="G6" s="608"/>
      <c r="H6" s="608"/>
      <c r="I6" s="207"/>
      <c r="J6" s="208"/>
      <c r="K6" s="204"/>
      <c r="L6" s="204"/>
      <c r="M6" s="204"/>
      <c r="N6" s="204"/>
      <c r="O6" s="204"/>
      <c r="P6" s="204"/>
      <c r="Q6" s="204"/>
      <c r="R6" s="204"/>
    </row>
    <row r="7" spans="1:18" s="201" customFormat="1" ht="13.5" thickBot="1" x14ac:dyDescent="0.25">
      <c r="A7" s="211"/>
      <c r="B7" s="211"/>
      <c r="C7" s="782" t="s">
        <v>426</v>
      </c>
      <c r="D7" s="782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</row>
    <row r="8" spans="1:18" s="201" customFormat="1" ht="20.25" customHeight="1" thickBot="1" x14ac:dyDescent="0.25">
      <c r="A8" s="610" t="s">
        <v>57</v>
      </c>
      <c r="B8" s="611" t="s">
        <v>65</v>
      </c>
      <c r="C8" s="611" t="s">
        <v>58</v>
      </c>
      <c r="D8" s="612" t="s">
        <v>59</v>
      </c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</row>
    <row r="9" spans="1:18" ht="27.75" customHeight="1" x14ac:dyDescent="0.25">
      <c r="A9" s="566"/>
      <c r="B9" s="567" t="s">
        <v>66</v>
      </c>
      <c r="C9" s="568" t="s">
        <v>437</v>
      </c>
      <c r="D9" s="569" t="s">
        <v>438</v>
      </c>
    </row>
    <row r="10" spans="1:18" x14ac:dyDescent="0.2">
      <c r="A10" s="298" t="s">
        <v>278</v>
      </c>
      <c r="B10" s="299" t="s">
        <v>43</v>
      </c>
      <c r="C10" s="300"/>
      <c r="D10" s="301"/>
    </row>
    <row r="11" spans="1:18" ht="15" customHeight="1" x14ac:dyDescent="0.2">
      <c r="A11" s="570" t="s">
        <v>1</v>
      </c>
      <c r="B11" s="228" t="s">
        <v>582</v>
      </c>
      <c r="C11" s="228"/>
      <c r="D11" s="229">
        <v>2578209</v>
      </c>
    </row>
    <row r="12" spans="1:18" x14ac:dyDescent="0.2">
      <c r="A12" s="570" t="s">
        <v>3</v>
      </c>
      <c r="B12" s="224" t="s">
        <v>68</v>
      </c>
      <c r="C12" s="224">
        <f>C11</f>
        <v>0</v>
      </c>
      <c r="D12" s="302">
        <f>D11</f>
        <v>2578209</v>
      </c>
    </row>
    <row r="13" spans="1:18" x14ac:dyDescent="0.2">
      <c r="A13" s="570" t="s">
        <v>4</v>
      </c>
      <c r="B13" s="228" t="s">
        <v>539</v>
      </c>
      <c r="C13" s="228"/>
      <c r="D13" s="223"/>
      <c r="F13" s="218"/>
      <c r="G13" s="303"/>
    </row>
    <row r="14" spans="1:18" x14ac:dyDescent="0.2">
      <c r="A14" s="570" t="s">
        <v>5</v>
      </c>
      <c r="B14" s="304" t="s">
        <v>279</v>
      </c>
      <c r="C14" s="220">
        <f>62790*12</f>
        <v>753480</v>
      </c>
      <c r="D14" s="220">
        <f>62335*12</f>
        <v>748020</v>
      </c>
      <c r="E14" s="283"/>
      <c r="F14" s="219"/>
      <c r="G14" s="219"/>
    </row>
    <row r="15" spans="1:18" x14ac:dyDescent="0.2">
      <c r="A15" s="570" t="s">
        <v>7</v>
      </c>
      <c r="B15" s="304" t="s">
        <v>280</v>
      </c>
      <c r="C15" s="220">
        <f>309120*12</f>
        <v>3709440</v>
      </c>
      <c r="D15" s="220">
        <f>306880*12</f>
        <v>3682560</v>
      </c>
      <c r="F15" s="219"/>
      <c r="G15" s="303"/>
    </row>
    <row r="16" spans="1:18" x14ac:dyDescent="0.2">
      <c r="A16" s="570" t="s">
        <v>18</v>
      </c>
      <c r="B16" s="304" t="s">
        <v>281</v>
      </c>
      <c r="C16" s="220">
        <f>241500*12</f>
        <v>2898000</v>
      </c>
      <c r="D16" s="220">
        <f>239750*12</f>
        <v>2877000</v>
      </c>
      <c r="E16" s="283"/>
      <c r="F16" s="219"/>
      <c r="G16" s="303"/>
    </row>
    <row r="17" spans="1:7" x14ac:dyDescent="0.2">
      <c r="A17" s="570" t="s">
        <v>20</v>
      </c>
      <c r="B17" s="304" t="s">
        <v>282</v>
      </c>
      <c r="C17" s="220">
        <f>38640*12</f>
        <v>463680</v>
      </c>
      <c r="D17" s="220">
        <f>38360*12</f>
        <v>460320</v>
      </c>
      <c r="F17" s="219"/>
      <c r="G17" s="303"/>
    </row>
    <row r="18" spans="1:7" ht="18" customHeight="1" x14ac:dyDescent="0.2">
      <c r="A18" s="570" t="s">
        <v>21</v>
      </c>
      <c r="B18" s="217" t="s">
        <v>283</v>
      </c>
      <c r="C18" s="228">
        <v>50000</v>
      </c>
      <c r="D18" s="228">
        <v>200000</v>
      </c>
      <c r="E18" s="305"/>
      <c r="F18" s="227"/>
      <c r="G18" s="303"/>
    </row>
    <row r="19" spans="1:7" x14ac:dyDescent="0.2">
      <c r="A19" s="570" t="s">
        <v>23</v>
      </c>
      <c r="B19" s="304" t="s">
        <v>284</v>
      </c>
      <c r="C19" s="228">
        <v>0</v>
      </c>
      <c r="D19" s="229"/>
      <c r="E19" s="283"/>
      <c r="F19" s="218"/>
      <c r="G19" s="303"/>
    </row>
    <row r="20" spans="1:7" ht="25.5" x14ac:dyDescent="0.2">
      <c r="A20" s="570" t="s">
        <v>24</v>
      </c>
      <c r="B20" s="217" t="s">
        <v>285</v>
      </c>
      <c r="C20" s="228"/>
      <c r="D20" s="229"/>
      <c r="F20" s="306"/>
      <c r="G20" s="307"/>
    </row>
    <row r="21" spans="1:7" ht="25.5" x14ac:dyDescent="0.2">
      <c r="A21" s="570" t="s">
        <v>25</v>
      </c>
      <c r="B21" s="217" t="s">
        <v>286</v>
      </c>
      <c r="C21" s="228">
        <v>2000000</v>
      </c>
      <c r="D21" s="228">
        <v>2000000</v>
      </c>
      <c r="E21" s="283"/>
      <c r="F21" s="306"/>
      <c r="G21" s="307"/>
    </row>
    <row r="22" spans="1:7" x14ac:dyDescent="0.2">
      <c r="A22" s="570" t="s">
        <v>27</v>
      </c>
      <c r="B22" s="304" t="s">
        <v>287</v>
      </c>
      <c r="C22" s="228">
        <v>700000</v>
      </c>
      <c r="D22" s="228">
        <v>700000</v>
      </c>
      <c r="F22" s="306"/>
      <c r="G22" s="307"/>
    </row>
    <row r="23" spans="1:7" x14ac:dyDescent="0.2">
      <c r="A23" s="570" t="s">
        <v>28</v>
      </c>
      <c r="B23" s="304" t="s">
        <v>288</v>
      </c>
      <c r="C23" s="228">
        <v>247000</v>
      </c>
      <c r="D23" s="228">
        <v>247000</v>
      </c>
      <c r="F23" s="306"/>
      <c r="G23" s="307"/>
    </row>
    <row r="24" spans="1:7" x14ac:dyDescent="0.2">
      <c r="A24" s="570" t="s">
        <v>31</v>
      </c>
      <c r="B24" s="304" t="s">
        <v>289</v>
      </c>
      <c r="C24" s="228">
        <v>24578240</v>
      </c>
      <c r="D24" s="228">
        <v>24300572</v>
      </c>
      <c r="F24" s="306"/>
      <c r="G24" s="242"/>
    </row>
    <row r="25" spans="1:7" x14ac:dyDescent="0.2">
      <c r="A25" s="570" t="s">
        <v>33</v>
      </c>
      <c r="B25" s="304" t="s">
        <v>445</v>
      </c>
      <c r="C25" s="228">
        <v>500000</v>
      </c>
      <c r="D25" s="228">
        <v>500000</v>
      </c>
      <c r="F25" s="306"/>
      <c r="G25" s="307"/>
    </row>
    <row r="26" spans="1:7" ht="25.5" customHeight="1" x14ac:dyDescent="0.2">
      <c r="A26" s="570" t="s">
        <v>61</v>
      </c>
      <c r="B26" s="217" t="s">
        <v>290</v>
      </c>
      <c r="C26" s="228">
        <v>100000</v>
      </c>
      <c r="D26" s="228">
        <v>100000</v>
      </c>
      <c r="F26" s="307"/>
      <c r="G26" s="242"/>
    </row>
    <row r="27" spans="1:7" ht="25.5" customHeight="1" x14ac:dyDescent="0.2">
      <c r="A27" s="570"/>
      <c r="B27" s="217" t="s">
        <v>599</v>
      </c>
      <c r="C27" s="228"/>
      <c r="D27" s="724">
        <v>664305</v>
      </c>
      <c r="F27" s="307"/>
      <c r="G27" s="242"/>
    </row>
    <row r="28" spans="1:7" s="310" customFormat="1" x14ac:dyDescent="0.2">
      <c r="A28" s="570" t="s">
        <v>142</v>
      </c>
      <c r="B28" s="224" t="s">
        <v>68</v>
      </c>
      <c r="C28" s="224">
        <f>SUM(C13:C26)</f>
        <v>35999840</v>
      </c>
      <c r="D28" s="225">
        <f>SUM(D14:D27)</f>
        <v>36479777</v>
      </c>
    </row>
    <row r="29" spans="1:7" s="310" customFormat="1" x14ac:dyDescent="0.2">
      <c r="A29" s="570" t="s">
        <v>143</v>
      </c>
      <c r="B29" s="224"/>
      <c r="C29" s="224"/>
      <c r="D29" s="302"/>
    </row>
    <row r="30" spans="1:7" s="310" customFormat="1" x14ac:dyDescent="0.2">
      <c r="A30" s="570" t="s">
        <v>144</v>
      </c>
      <c r="B30" s="224" t="s">
        <v>291</v>
      </c>
      <c r="C30" s="224">
        <f>C31+C32</f>
        <v>0</v>
      </c>
      <c r="D30" s="302">
        <v>11765762</v>
      </c>
    </row>
    <row r="31" spans="1:7" s="310" customFormat="1" x14ac:dyDescent="0.2">
      <c r="A31" s="570" t="s">
        <v>145</v>
      </c>
      <c r="B31" s="228"/>
      <c r="C31" s="224"/>
      <c r="D31" s="223"/>
    </row>
    <row r="32" spans="1:7" s="310" customFormat="1" x14ac:dyDescent="0.2">
      <c r="A32" s="570" t="s">
        <v>146</v>
      </c>
      <c r="B32" s="228"/>
      <c r="C32" s="228"/>
      <c r="D32" s="223"/>
    </row>
    <row r="33" spans="1:6" s="310" customFormat="1" x14ac:dyDescent="0.2">
      <c r="A33" s="570" t="s">
        <v>147</v>
      </c>
      <c r="B33" s="217"/>
      <c r="C33" s="308"/>
      <c r="D33" s="223"/>
    </row>
    <row r="34" spans="1:6" s="310" customFormat="1" ht="15.75" customHeight="1" x14ac:dyDescent="0.2">
      <c r="A34" s="570" t="s">
        <v>148</v>
      </c>
      <c r="B34" s="224" t="s">
        <v>292</v>
      </c>
      <c r="C34" s="224">
        <f>C28+C30+C12</f>
        <v>35999840</v>
      </c>
      <c r="D34" s="225">
        <f>D28+D30+D12</f>
        <v>50823748</v>
      </c>
      <c r="F34" s="311"/>
    </row>
    <row r="35" spans="1:6" s="310" customFormat="1" ht="15.75" customHeight="1" thickBot="1" x14ac:dyDescent="0.25">
      <c r="A35" s="682" t="s">
        <v>149</v>
      </c>
      <c r="B35" s="683"/>
      <c r="C35" s="683"/>
      <c r="D35" s="684"/>
      <c r="F35" s="311"/>
    </row>
    <row r="36" spans="1:6" ht="16.5" customHeight="1" x14ac:dyDescent="0.2">
      <c r="A36" s="685" t="s">
        <v>439</v>
      </c>
      <c r="B36" s="686" t="s">
        <v>293</v>
      </c>
      <c r="C36" s="687"/>
      <c r="D36" s="688"/>
    </row>
    <row r="37" spans="1:6" ht="13.5" thickBot="1" x14ac:dyDescent="0.25">
      <c r="A37" s="312"/>
      <c r="B37" s="230" t="s">
        <v>294</v>
      </c>
      <c r="C37" s="230">
        <f>C34</f>
        <v>35999840</v>
      </c>
      <c r="D37" s="231">
        <f>D34</f>
        <v>50823748</v>
      </c>
    </row>
    <row r="38" spans="1:6" x14ac:dyDescent="0.2">
      <c r="A38" s="242"/>
      <c r="B38" s="237"/>
      <c r="C38" s="237"/>
    </row>
    <row r="39" spans="1:6" x14ac:dyDescent="0.2">
      <c r="A39" s="242"/>
      <c r="B39" s="313"/>
      <c r="C39" s="237"/>
    </row>
    <row r="40" spans="1:6" x14ac:dyDescent="0.2">
      <c r="A40" s="242"/>
      <c r="B40" s="313"/>
      <c r="C40" s="237"/>
    </row>
    <row r="41" spans="1:6" x14ac:dyDescent="0.2">
      <c r="A41" s="242"/>
      <c r="B41" s="313"/>
      <c r="C41" s="237"/>
    </row>
    <row r="42" spans="1:6" x14ac:dyDescent="0.2">
      <c r="A42" s="242"/>
      <c r="B42" s="313"/>
      <c r="C42" s="237"/>
    </row>
    <row r="43" spans="1:6" x14ac:dyDescent="0.2">
      <c r="A43" s="242"/>
      <c r="B43" s="313"/>
      <c r="C43" s="237"/>
    </row>
    <row r="44" spans="1:6" x14ac:dyDescent="0.2">
      <c r="A44" s="242"/>
      <c r="B44" s="239"/>
      <c r="C44" s="239"/>
    </row>
    <row r="45" spans="1:6" x14ac:dyDescent="0.2">
      <c r="A45" s="242"/>
      <c r="B45" s="314"/>
      <c r="C45" s="237"/>
    </row>
    <row r="46" spans="1:6" x14ac:dyDescent="0.2">
      <c r="A46" s="242"/>
      <c r="B46" s="237"/>
      <c r="C46" s="237"/>
    </row>
    <row r="47" spans="1:6" x14ac:dyDescent="0.2">
      <c r="A47" s="245"/>
      <c r="B47" s="239"/>
      <c r="C47" s="239"/>
    </row>
    <row r="48" spans="1:6" x14ac:dyDescent="0.2">
      <c r="A48" s="242"/>
      <c r="B48" s="237"/>
      <c r="C48" s="237"/>
    </row>
    <row r="49" spans="1:3" x14ac:dyDescent="0.2">
      <c r="A49" s="242"/>
      <c r="B49" s="237"/>
      <c r="C49" s="237"/>
    </row>
    <row r="50" spans="1:3" x14ac:dyDescent="0.2">
      <c r="A50" s="242"/>
      <c r="B50" s="314"/>
      <c r="C50" s="237"/>
    </row>
    <row r="51" spans="1:3" hidden="1" x14ac:dyDescent="0.2">
      <c r="A51" s="242"/>
      <c r="B51" s="237"/>
      <c r="C51" s="237"/>
    </row>
    <row r="52" spans="1:3" x14ac:dyDescent="0.2">
      <c r="A52" s="240"/>
      <c r="B52" s="235"/>
      <c r="C52" s="237"/>
    </row>
    <row r="53" spans="1:3" x14ac:dyDescent="0.2">
      <c r="B53" s="314"/>
      <c r="C53" s="314"/>
    </row>
    <row r="54" spans="1:3" x14ac:dyDescent="0.2">
      <c r="A54" s="240"/>
      <c r="B54" s="235"/>
      <c r="C54" s="235"/>
    </row>
    <row r="55" spans="1:3" x14ac:dyDescent="0.2">
      <c r="A55" s="240"/>
      <c r="B55" s="235"/>
      <c r="C55" s="235"/>
    </row>
    <row r="56" spans="1:3" x14ac:dyDescent="0.2">
      <c r="A56" s="240"/>
      <c r="B56" s="235"/>
      <c r="C56" s="235"/>
    </row>
    <row r="57" spans="1:3" x14ac:dyDescent="0.2">
      <c r="A57" s="240"/>
      <c r="B57" s="235"/>
      <c r="C57" s="315"/>
    </row>
    <row r="58" spans="1:3" x14ac:dyDescent="0.2">
      <c r="A58" s="316"/>
      <c r="B58" s="317"/>
      <c r="C58" s="235"/>
    </row>
    <row r="59" spans="1:3" x14ac:dyDescent="0.2">
      <c r="A59" s="240"/>
      <c r="B59" s="235"/>
      <c r="C59" s="235"/>
    </row>
    <row r="60" spans="1:3" x14ac:dyDescent="0.2">
      <c r="A60" s="318"/>
      <c r="B60" s="319"/>
      <c r="C60" s="320"/>
    </row>
    <row r="61" spans="1:3" x14ac:dyDescent="0.2">
      <c r="A61" s="318"/>
      <c r="B61" s="320"/>
      <c r="C61" s="320"/>
    </row>
    <row r="62" spans="1:3" x14ac:dyDescent="0.2">
      <c r="A62" s="318"/>
      <c r="B62" s="320"/>
      <c r="C62" s="320"/>
    </row>
    <row r="63" spans="1:3" x14ac:dyDescent="0.2">
      <c r="A63" s="318"/>
      <c r="B63" s="320"/>
      <c r="C63" s="320"/>
    </row>
    <row r="64" spans="1:3" x14ac:dyDescent="0.2">
      <c r="A64" s="267"/>
      <c r="B64" s="321"/>
      <c r="C64" s="321"/>
    </row>
    <row r="65" spans="1:3" x14ac:dyDescent="0.2">
      <c r="A65" s="267"/>
      <c r="B65" s="321"/>
      <c r="C65" s="321"/>
    </row>
    <row r="66" spans="1:3" x14ac:dyDescent="0.2">
      <c r="A66" s="267"/>
      <c r="B66" s="321"/>
      <c r="C66" s="321"/>
    </row>
    <row r="67" spans="1:3" x14ac:dyDescent="0.2">
      <c r="A67" s="267"/>
      <c r="B67" s="321"/>
      <c r="C67" s="321"/>
    </row>
    <row r="68" spans="1:3" x14ac:dyDescent="0.2">
      <c r="A68" s="267"/>
      <c r="B68" s="321"/>
      <c r="C68" s="321"/>
    </row>
    <row r="69" spans="1:3" x14ac:dyDescent="0.2">
      <c r="A69" s="267"/>
      <c r="B69" s="321"/>
      <c r="C69" s="321"/>
    </row>
    <row r="70" spans="1:3" x14ac:dyDescent="0.2">
      <c r="A70" s="290"/>
      <c r="B70" s="322"/>
      <c r="C70" s="322"/>
    </row>
    <row r="71" spans="1:3" x14ac:dyDescent="0.2">
      <c r="A71" s="290"/>
      <c r="B71" s="322"/>
      <c r="C71" s="322"/>
    </row>
    <row r="72" spans="1:3" x14ac:dyDescent="0.2">
      <c r="A72" s="290"/>
      <c r="B72" s="290"/>
      <c r="C72" s="290"/>
    </row>
    <row r="73" spans="1:3" x14ac:dyDescent="0.2">
      <c r="A73" s="290"/>
      <c r="B73" s="290"/>
      <c r="C73" s="290"/>
    </row>
    <row r="74" spans="1:3" x14ac:dyDescent="0.2">
      <c r="C74" s="290"/>
    </row>
    <row r="75" spans="1:3" x14ac:dyDescent="0.2">
      <c r="C75" s="290"/>
    </row>
  </sheetData>
  <mergeCells count="4">
    <mergeCell ref="A1:D1"/>
    <mergeCell ref="A3:D3"/>
    <mergeCell ref="A5:D5"/>
    <mergeCell ref="C7:D7"/>
  </mergeCells>
  <printOptions horizontalCentered="1"/>
  <pageMargins left="0.74803149606299213" right="0.15748031496062992" top="0.19685039370078741" bottom="0.98425196850393704" header="0.51181102362204722" footer="0.51181102362204722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AW56"/>
  <sheetViews>
    <sheetView zoomScaleNormal="100" workbookViewId="0">
      <selection activeCell="H25" sqref="H24:H25"/>
    </sheetView>
  </sheetViews>
  <sheetFormatPr defaultColWidth="9.140625" defaultRowHeight="12" x14ac:dyDescent="0.2"/>
  <cols>
    <col min="1" max="1" width="5.7109375" style="374" customWidth="1"/>
    <col min="2" max="2" width="50.28515625" style="366" customWidth="1"/>
    <col min="3" max="3" width="12.7109375" style="365" customWidth="1"/>
    <col min="4" max="4" width="14.5703125" style="201" customWidth="1"/>
    <col min="5" max="5" width="9.85546875" style="335" bestFit="1" customWidth="1"/>
    <col min="6" max="16384" width="9.140625" style="335"/>
  </cols>
  <sheetData>
    <row r="1" spans="1:49" s="201" customFormat="1" x14ac:dyDescent="0.2">
      <c r="A1" s="202"/>
      <c r="B1" s="203"/>
      <c r="C1" s="203"/>
      <c r="D1" s="203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</row>
    <row r="2" spans="1:49" s="201" customFormat="1" ht="28.5" customHeight="1" x14ac:dyDescent="0.2">
      <c r="A2" s="789" t="s">
        <v>513</v>
      </c>
      <c r="B2" s="790"/>
      <c r="C2" s="790"/>
      <c r="D2" s="790"/>
      <c r="E2" s="327"/>
      <c r="F2" s="327"/>
      <c r="G2" s="327"/>
      <c r="H2" s="327"/>
      <c r="I2" s="327"/>
      <c r="J2" s="324"/>
      <c r="K2" s="324"/>
      <c r="L2" s="324"/>
      <c r="M2" s="324"/>
      <c r="N2" s="324"/>
      <c r="O2" s="324"/>
      <c r="P2" s="324"/>
      <c r="Q2" s="324"/>
      <c r="R2" s="324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</row>
    <row r="3" spans="1:49" s="201" customFormat="1" x14ac:dyDescent="0.2">
      <c r="A3" s="206"/>
      <c r="B3" s="207"/>
      <c r="C3" s="207"/>
      <c r="D3" s="207"/>
      <c r="E3" s="328"/>
      <c r="F3" s="328"/>
      <c r="G3" s="328"/>
      <c r="H3" s="328"/>
      <c r="I3" s="328"/>
      <c r="J3" s="329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</row>
    <row r="4" spans="1:49" s="201" customFormat="1" ht="33" customHeight="1" x14ac:dyDescent="0.25">
      <c r="A4" s="791" t="s">
        <v>295</v>
      </c>
      <c r="B4" s="792"/>
      <c r="C4" s="792"/>
      <c r="D4" s="792"/>
      <c r="E4" s="330"/>
      <c r="F4" s="330"/>
      <c r="G4" s="330"/>
      <c r="H4" s="330"/>
      <c r="I4" s="330"/>
      <c r="J4" s="331"/>
      <c r="K4" s="331"/>
      <c r="L4" s="331"/>
      <c r="M4" s="331"/>
      <c r="N4" s="331"/>
      <c r="O4" s="331"/>
      <c r="P4" s="331"/>
      <c r="Q4" s="331"/>
      <c r="R4" s="331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</row>
    <row r="5" spans="1:49" s="201" customFormat="1" x14ac:dyDescent="0.2">
      <c r="A5" s="206"/>
      <c r="B5" s="207"/>
      <c r="C5" s="207"/>
      <c r="D5" s="207"/>
      <c r="E5" s="328"/>
      <c r="F5" s="328"/>
      <c r="G5" s="328"/>
      <c r="H5" s="328"/>
      <c r="I5" s="328"/>
      <c r="J5" s="329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</row>
    <row r="6" spans="1:49" s="201" customFormat="1" ht="13.5" thickBot="1" x14ac:dyDescent="0.25">
      <c r="A6" s="211"/>
      <c r="B6" s="211"/>
      <c r="C6" s="782" t="s">
        <v>429</v>
      </c>
      <c r="D6" s="782"/>
      <c r="E6" s="332"/>
      <c r="F6" s="332"/>
      <c r="G6" s="332"/>
      <c r="H6" s="332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</row>
    <row r="7" spans="1:49" s="201" customFormat="1" ht="12.75" x14ac:dyDescent="0.2">
      <c r="A7" s="698" t="s">
        <v>57</v>
      </c>
      <c r="B7" s="699" t="s">
        <v>65</v>
      </c>
      <c r="C7" s="699" t="s">
        <v>58</v>
      </c>
      <c r="D7" s="700" t="s">
        <v>59</v>
      </c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</row>
    <row r="8" spans="1:49" ht="36" x14ac:dyDescent="0.2">
      <c r="A8" s="692" t="s">
        <v>436</v>
      </c>
      <c r="B8" s="560" t="s">
        <v>296</v>
      </c>
      <c r="C8" s="561" t="s">
        <v>514</v>
      </c>
      <c r="D8" s="715" t="s">
        <v>515</v>
      </c>
      <c r="E8" s="333"/>
      <c r="F8" s="333"/>
      <c r="G8" s="333"/>
      <c r="H8" s="333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4"/>
      <c r="AW8" s="334"/>
    </row>
    <row r="9" spans="1:49" ht="24" x14ac:dyDescent="0.2">
      <c r="A9" s="336">
        <v>1</v>
      </c>
      <c r="B9" s="337" t="s">
        <v>433</v>
      </c>
      <c r="C9" s="338"/>
      <c r="D9" s="339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</row>
    <row r="10" spans="1:49" x14ac:dyDescent="0.2">
      <c r="A10" s="336">
        <v>2</v>
      </c>
      <c r="B10" s="337" t="s">
        <v>434</v>
      </c>
      <c r="C10" s="338"/>
      <c r="D10" s="339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</row>
    <row r="11" spans="1:49" x14ac:dyDescent="0.2">
      <c r="A11" s="336">
        <v>3</v>
      </c>
      <c r="B11" s="337" t="s">
        <v>435</v>
      </c>
      <c r="C11" s="338"/>
      <c r="D11" s="339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334"/>
      <c r="AP11" s="334"/>
      <c r="AQ11" s="334"/>
      <c r="AR11" s="334"/>
      <c r="AS11" s="334"/>
      <c r="AT11" s="334"/>
      <c r="AU11" s="334"/>
      <c r="AV11" s="334"/>
      <c r="AW11" s="334"/>
    </row>
    <row r="12" spans="1:49" ht="24" x14ac:dyDescent="0.2">
      <c r="A12" s="336">
        <v>4</v>
      </c>
      <c r="B12" s="340" t="s">
        <v>549</v>
      </c>
      <c r="C12" s="338">
        <v>3157725</v>
      </c>
      <c r="D12" s="339">
        <v>3157725</v>
      </c>
    </row>
    <row r="13" spans="1:49" x14ac:dyDescent="0.2">
      <c r="A13" s="336">
        <v>5</v>
      </c>
      <c r="B13" s="341" t="s">
        <v>297</v>
      </c>
      <c r="C13" s="342">
        <f>SUM(C9:C12)</f>
        <v>3157725</v>
      </c>
      <c r="D13" s="343">
        <f>SUM(D9:D12)</f>
        <v>3157725</v>
      </c>
    </row>
    <row r="14" spans="1:49" x14ac:dyDescent="0.2">
      <c r="A14" s="336">
        <v>6</v>
      </c>
      <c r="B14" s="341"/>
      <c r="C14" s="342"/>
      <c r="D14" s="343"/>
    </row>
    <row r="15" spans="1:49" x14ac:dyDescent="0.2">
      <c r="A15" s="336">
        <v>7</v>
      </c>
      <c r="B15" s="341" t="s">
        <v>298</v>
      </c>
      <c r="C15" s="342">
        <v>74018948</v>
      </c>
      <c r="D15" s="343">
        <f>82820086-1798785+516985</f>
        <v>81538286</v>
      </c>
      <c r="E15" s="719"/>
    </row>
    <row r="16" spans="1:49" x14ac:dyDescent="0.2">
      <c r="A16" s="336">
        <v>8</v>
      </c>
      <c r="B16" s="337"/>
      <c r="C16" s="338"/>
      <c r="D16" s="339"/>
    </row>
    <row r="17" spans="1:5" x14ac:dyDescent="0.2">
      <c r="A17" s="336">
        <v>9</v>
      </c>
      <c r="B17" s="337"/>
      <c r="C17" s="338"/>
      <c r="D17" s="339"/>
    </row>
    <row r="18" spans="1:5" x14ac:dyDescent="0.2">
      <c r="A18" s="336">
        <v>10</v>
      </c>
      <c r="B18" s="337"/>
      <c r="C18" s="338"/>
      <c r="D18" s="339"/>
    </row>
    <row r="19" spans="1:5" x14ac:dyDescent="0.2">
      <c r="A19" s="336">
        <v>11</v>
      </c>
      <c r="B19" s="344" t="s">
        <v>550</v>
      </c>
      <c r="C19" s="338"/>
      <c r="D19" s="339"/>
      <c r="E19" s="334"/>
    </row>
    <row r="20" spans="1:5" x14ac:dyDescent="0.2">
      <c r="A20" s="336">
        <v>12</v>
      </c>
      <c r="B20" s="344" t="s">
        <v>551</v>
      </c>
      <c r="C20" s="338">
        <v>15724913</v>
      </c>
      <c r="D20" s="339">
        <v>15724913</v>
      </c>
      <c r="E20" s="334"/>
    </row>
    <row r="21" spans="1:5" x14ac:dyDescent="0.2">
      <c r="A21" s="336">
        <v>13</v>
      </c>
      <c r="B21" s="344" t="s">
        <v>552</v>
      </c>
      <c r="C21" s="338">
        <v>50000000</v>
      </c>
      <c r="D21" s="339">
        <v>0</v>
      </c>
      <c r="E21" s="334"/>
    </row>
    <row r="22" spans="1:5" x14ac:dyDescent="0.2">
      <c r="A22" s="336">
        <v>14</v>
      </c>
      <c r="B22" s="341" t="s">
        <v>299</v>
      </c>
      <c r="C22" s="342">
        <f>SUM(C20:C21)</f>
        <v>65724913</v>
      </c>
      <c r="D22" s="342">
        <f>SUM(D20:D21)</f>
        <v>15724913</v>
      </c>
    </row>
    <row r="23" spans="1:5" x14ac:dyDescent="0.2">
      <c r="A23" s="336">
        <v>15</v>
      </c>
      <c r="B23" s="547"/>
      <c r="C23" s="548"/>
      <c r="D23" s="549"/>
    </row>
    <row r="24" spans="1:5" ht="12.75" thickBot="1" x14ac:dyDescent="0.25">
      <c r="A24" s="709">
        <v>16</v>
      </c>
      <c r="B24" s="345" t="s">
        <v>300</v>
      </c>
      <c r="C24" s="346">
        <f>C22+C13+C15</f>
        <v>142901586</v>
      </c>
      <c r="D24" s="550">
        <f>D22+D13+D15</f>
        <v>100420924</v>
      </c>
      <c r="E24" s="719"/>
    </row>
    <row r="25" spans="1:5" x14ac:dyDescent="0.2">
      <c r="A25" s="347"/>
      <c r="B25" s="348"/>
      <c r="C25" s="349"/>
      <c r="D25" s="350"/>
    </row>
    <row r="26" spans="1:5" x14ac:dyDescent="0.2">
      <c r="A26" s="351"/>
      <c r="B26" s="348"/>
      <c r="C26" s="349"/>
      <c r="D26" s="350"/>
      <c r="E26" s="719"/>
    </row>
    <row r="27" spans="1:5" x14ac:dyDescent="0.2">
      <c r="A27" s="347"/>
      <c r="B27" s="348"/>
      <c r="C27" s="352"/>
      <c r="D27" s="365"/>
    </row>
    <row r="28" spans="1:5" x14ac:dyDescent="0.2">
      <c r="A28" s="347"/>
      <c r="B28" s="348"/>
      <c r="C28" s="352"/>
    </row>
    <row r="29" spans="1:5" x14ac:dyDescent="0.2">
      <c r="A29" s="347"/>
      <c r="B29" s="353"/>
      <c r="C29" s="354"/>
      <c r="D29" s="355"/>
    </row>
    <row r="30" spans="1:5" x14ac:dyDescent="0.2">
      <c r="A30" s="351"/>
      <c r="B30" s="356"/>
      <c r="C30" s="357"/>
      <c r="D30" s="358"/>
    </row>
    <row r="31" spans="1:5" x14ac:dyDescent="0.2">
      <c r="A31" s="351"/>
      <c r="B31" s="356"/>
      <c r="C31" s="352"/>
      <c r="D31" s="358"/>
    </row>
    <row r="32" spans="1:5" x14ac:dyDescent="0.2">
      <c r="A32" s="351"/>
      <c r="B32" s="356"/>
      <c r="C32" s="352"/>
      <c r="D32" s="358"/>
    </row>
    <row r="33" spans="1:4" x14ac:dyDescent="0.2">
      <c r="A33" s="351"/>
      <c r="B33" s="356"/>
      <c r="C33" s="352"/>
      <c r="D33" s="358"/>
    </row>
    <row r="34" spans="1:4" x14ac:dyDescent="0.2">
      <c r="A34" s="351"/>
      <c r="B34" s="356"/>
      <c r="C34" s="352"/>
      <c r="D34" s="358"/>
    </row>
    <row r="35" spans="1:4" x14ac:dyDescent="0.2">
      <c r="A35" s="351"/>
      <c r="B35" s="359"/>
      <c r="C35" s="352"/>
      <c r="D35" s="358"/>
    </row>
    <row r="36" spans="1:4" x14ac:dyDescent="0.2">
      <c r="A36" s="360"/>
      <c r="B36" s="361"/>
      <c r="C36" s="362"/>
      <c r="D36" s="358"/>
    </row>
    <row r="37" spans="1:4" x14ac:dyDescent="0.2">
      <c r="A37" s="351"/>
      <c r="B37" s="356"/>
      <c r="C37" s="352"/>
      <c r="D37" s="358"/>
    </row>
    <row r="38" spans="1:4" x14ac:dyDescent="0.2">
      <c r="A38" s="351"/>
      <c r="B38" s="356"/>
      <c r="C38" s="352"/>
    </row>
    <row r="39" spans="1:4" x14ac:dyDescent="0.2">
      <c r="A39" s="363"/>
      <c r="B39" s="364"/>
      <c r="D39" s="365"/>
    </row>
    <row r="40" spans="1:4" x14ac:dyDescent="0.2">
      <c r="A40" s="363"/>
      <c r="B40" s="364"/>
      <c r="D40" s="350"/>
    </row>
    <row r="41" spans="1:4" x14ac:dyDescent="0.2">
      <c r="A41" s="363"/>
      <c r="D41" s="350"/>
    </row>
    <row r="42" spans="1:4" x14ac:dyDescent="0.2">
      <c r="A42" s="363"/>
      <c r="B42" s="367"/>
      <c r="C42" s="368"/>
      <c r="D42" s="350"/>
    </row>
    <row r="43" spans="1:4" x14ac:dyDescent="0.2">
      <c r="A43" s="363"/>
      <c r="D43" s="369"/>
    </row>
    <row r="44" spans="1:4" x14ac:dyDescent="0.2">
      <c r="A44" s="370"/>
      <c r="B44" s="367"/>
      <c r="C44" s="368"/>
      <c r="D44" s="369"/>
    </row>
    <row r="45" spans="1:4" x14ac:dyDescent="0.2">
      <c r="A45" s="363"/>
      <c r="D45" s="369"/>
    </row>
    <row r="46" spans="1:4" x14ac:dyDescent="0.2">
      <c r="A46" s="363"/>
      <c r="B46" s="367"/>
      <c r="C46" s="368"/>
      <c r="D46" s="369"/>
    </row>
    <row r="47" spans="1:4" x14ac:dyDescent="0.2">
      <c r="A47" s="363"/>
      <c r="D47" s="350"/>
    </row>
    <row r="48" spans="1:4" x14ac:dyDescent="0.2">
      <c r="A48" s="363"/>
      <c r="B48" s="371"/>
      <c r="D48" s="372"/>
    </row>
    <row r="49" spans="1:4" x14ac:dyDescent="0.2">
      <c r="A49" s="363"/>
      <c r="B49" s="367"/>
      <c r="C49" s="368"/>
    </row>
    <row r="50" spans="1:4" x14ac:dyDescent="0.2">
      <c r="A50" s="363"/>
      <c r="D50" s="373"/>
    </row>
    <row r="51" spans="1:4" x14ac:dyDescent="0.2">
      <c r="A51" s="363"/>
    </row>
    <row r="52" spans="1:4" x14ac:dyDescent="0.2">
      <c r="A52" s="363"/>
    </row>
    <row r="53" spans="1:4" x14ac:dyDescent="0.2">
      <c r="A53" s="363"/>
    </row>
    <row r="54" spans="1:4" x14ac:dyDescent="0.2">
      <c r="A54" s="363"/>
    </row>
    <row r="55" spans="1:4" x14ac:dyDescent="0.2">
      <c r="A55" s="363"/>
    </row>
    <row r="56" spans="1:4" x14ac:dyDescent="0.2">
      <c r="A56" s="363"/>
    </row>
  </sheetData>
  <mergeCells count="3">
    <mergeCell ref="A2:D2"/>
    <mergeCell ref="A4:D4"/>
    <mergeCell ref="C6:D6"/>
  </mergeCells>
  <printOptions horizontalCentered="1"/>
  <pageMargins left="0" right="0" top="0.19685039370078741" bottom="0.98425196850393704" header="0.51181102362204722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AW59"/>
  <sheetViews>
    <sheetView topLeftCell="A19" zoomScaleNormal="100" workbookViewId="0">
      <selection activeCell="C10" sqref="C10"/>
    </sheetView>
  </sheetViews>
  <sheetFormatPr defaultColWidth="9.140625" defaultRowHeight="15.75" x14ac:dyDescent="0.25"/>
  <cols>
    <col min="1" max="1" width="5.140625" style="375" customWidth="1"/>
    <col min="2" max="2" width="42.28515625" style="396" customWidth="1"/>
    <col min="3" max="3" width="12.140625" style="381" customWidth="1"/>
    <col min="4" max="4" width="12.42578125" style="381" customWidth="1"/>
    <col min="5" max="5" width="12.28515625" style="381" customWidth="1"/>
    <col min="6" max="6" width="12.7109375" style="381" customWidth="1"/>
    <col min="7" max="16384" width="9.140625" style="375"/>
  </cols>
  <sheetData>
    <row r="1" spans="1:49" s="201" customFormat="1" ht="23.25" customHeight="1" x14ac:dyDescent="0.2">
      <c r="A1" s="787"/>
      <c r="B1" s="788"/>
      <c r="C1" s="788"/>
      <c r="D1" s="788"/>
      <c r="E1" s="788"/>
      <c r="F1" s="788"/>
      <c r="G1" s="323"/>
      <c r="H1" s="323"/>
      <c r="I1" s="323"/>
      <c r="J1" s="324"/>
      <c r="K1" s="324"/>
      <c r="L1" s="324"/>
      <c r="M1" s="324"/>
      <c r="N1" s="324"/>
      <c r="O1" s="324"/>
      <c r="P1" s="324"/>
      <c r="Q1" s="324"/>
      <c r="R1" s="324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</row>
    <row r="2" spans="1:49" s="201" customFormat="1" ht="11.25" customHeight="1" x14ac:dyDescent="0.2">
      <c r="A2" s="202"/>
      <c r="B2" s="203"/>
      <c r="C2" s="203"/>
      <c r="D2" s="203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</row>
    <row r="3" spans="1:49" s="201" customFormat="1" ht="16.5" customHeight="1" x14ac:dyDescent="0.2">
      <c r="A3" s="789" t="s">
        <v>516</v>
      </c>
      <c r="B3" s="790"/>
      <c r="C3" s="790"/>
      <c r="D3" s="790"/>
      <c r="E3" s="790"/>
      <c r="F3" s="790"/>
      <c r="G3" s="327"/>
      <c r="H3" s="327"/>
      <c r="I3" s="327"/>
      <c r="J3" s="324"/>
      <c r="K3" s="324"/>
      <c r="L3" s="324"/>
      <c r="M3" s="324"/>
      <c r="N3" s="324"/>
      <c r="O3" s="324"/>
      <c r="P3" s="324"/>
      <c r="Q3" s="324"/>
      <c r="R3" s="324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</row>
    <row r="4" spans="1:49" s="201" customFormat="1" ht="10.5" customHeight="1" x14ac:dyDescent="0.2">
      <c r="A4" s="206"/>
      <c r="B4" s="207"/>
      <c r="C4" s="207"/>
      <c r="D4" s="207"/>
      <c r="E4" s="328"/>
      <c r="F4" s="328"/>
      <c r="G4" s="328"/>
      <c r="H4" s="328"/>
      <c r="I4" s="328"/>
      <c r="J4" s="329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</row>
    <row r="5" spans="1:49" s="201" customFormat="1" ht="60" customHeight="1" x14ac:dyDescent="0.25">
      <c r="A5" s="791" t="s">
        <v>517</v>
      </c>
      <c r="B5" s="792"/>
      <c r="C5" s="792"/>
      <c r="D5" s="792"/>
      <c r="E5" s="792"/>
      <c r="F5" s="792"/>
      <c r="G5" s="330"/>
      <c r="H5" s="330"/>
      <c r="I5" s="330"/>
      <c r="J5" s="331"/>
      <c r="K5" s="331"/>
      <c r="L5" s="331"/>
      <c r="M5" s="331"/>
      <c r="N5" s="331"/>
      <c r="O5" s="331"/>
      <c r="P5" s="331"/>
      <c r="Q5" s="331"/>
      <c r="R5" s="331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</row>
    <row r="6" spans="1:49" s="201" customFormat="1" ht="13.5" thickBot="1" x14ac:dyDescent="0.25">
      <c r="A6" s="782" t="s">
        <v>426</v>
      </c>
      <c r="B6" s="782"/>
      <c r="C6" s="782"/>
      <c r="D6" s="782"/>
      <c r="E6" s="782"/>
      <c r="F6" s="782"/>
      <c r="G6" s="332"/>
      <c r="H6" s="332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</row>
    <row r="7" spans="1:49" ht="30.75" customHeight="1" thickBot="1" x14ac:dyDescent="0.3">
      <c r="A7" s="555" t="s">
        <v>436</v>
      </c>
      <c r="B7" s="639" t="s">
        <v>302</v>
      </c>
      <c r="C7" s="639">
        <v>2022</v>
      </c>
      <c r="D7" s="639">
        <v>2023</v>
      </c>
      <c r="E7" s="640">
        <v>2024</v>
      </c>
      <c r="F7" s="641">
        <v>2025</v>
      </c>
    </row>
    <row r="8" spans="1:49" x14ac:dyDescent="0.25">
      <c r="A8" s="558" t="s">
        <v>57</v>
      </c>
      <c r="B8" s="559" t="s">
        <v>65</v>
      </c>
      <c r="C8" s="556" t="s">
        <v>58</v>
      </c>
      <c r="D8" s="556" t="s">
        <v>59</v>
      </c>
      <c r="E8" s="556" t="s">
        <v>60</v>
      </c>
      <c r="F8" s="557" t="s">
        <v>67</v>
      </c>
    </row>
    <row r="9" spans="1:49" x14ac:dyDescent="0.25">
      <c r="A9" s="376"/>
      <c r="B9" s="377" t="s">
        <v>303</v>
      </c>
      <c r="C9" s="551"/>
      <c r="D9" s="552"/>
      <c r="E9" s="552"/>
      <c r="F9" s="553"/>
    </row>
    <row r="10" spans="1:49" x14ac:dyDescent="0.25">
      <c r="A10" s="378">
        <v>1</v>
      </c>
      <c r="B10" s="379" t="s">
        <v>62</v>
      </c>
      <c r="C10" s="228">
        <f>'1.melléklet.Önkormányzat'!D24</f>
        <v>107781317</v>
      </c>
      <c r="D10" s="228">
        <f>C10*1.05</f>
        <v>113170382.85000001</v>
      </c>
      <c r="E10" s="228">
        <f t="shared" ref="E10:F10" si="0">D10*1.05</f>
        <v>118828901.99250001</v>
      </c>
      <c r="F10" s="228">
        <f t="shared" si="0"/>
        <v>124770347.09212501</v>
      </c>
    </row>
    <row r="11" spans="1:49" x14ac:dyDescent="0.25">
      <c r="A11" s="378">
        <v>2</v>
      </c>
      <c r="B11" s="379" t="s">
        <v>304</v>
      </c>
      <c r="C11" s="228">
        <f ca="1">'1.melléklet.Önkormányzat'!D30</f>
        <v>148280512</v>
      </c>
      <c r="D11" s="228">
        <f t="shared" ref="D11:F20" ca="1" si="1">C11*1.05</f>
        <v>155694537.59999999</v>
      </c>
      <c r="E11" s="228">
        <f t="shared" ca="1" si="1"/>
        <v>163479264.47999999</v>
      </c>
      <c r="F11" s="229">
        <f t="shared" ca="1" si="1"/>
        <v>171653227.704</v>
      </c>
    </row>
    <row r="12" spans="1:49" ht="31.5" x14ac:dyDescent="0.25">
      <c r="A12" s="378">
        <v>3</v>
      </c>
      <c r="B12" s="281" t="s">
        <v>305</v>
      </c>
      <c r="C12" s="228">
        <f>'1.melléklet.Önkormányzat'!D32</f>
        <v>2022000</v>
      </c>
      <c r="D12" s="228"/>
      <c r="E12" s="228"/>
      <c r="F12" s="229"/>
    </row>
    <row r="13" spans="1:49" ht="30.75" customHeight="1" x14ac:dyDescent="0.25">
      <c r="A13" s="378">
        <v>4</v>
      </c>
      <c r="B13" s="379" t="s">
        <v>76</v>
      </c>
      <c r="C13" s="228">
        <f>'1.melléklet.Önkormányzat'!D16+'1.melléklet.Önkormányzat'!D8</f>
        <v>728221978</v>
      </c>
      <c r="D13" s="228">
        <f t="shared" si="1"/>
        <v>764633076.89999998</v>
      </c>
      <c r="E13" s="228">
        <f t="shared" si="1"/>
        <v>802864730.745</v>
      </c>
      <c r="F13" s="229">
        <f t="shared" si="1"/>
        <v>843007967.28225005</v>
      </c>
    </row>
    <row r="14" spans="1:49" x14ac:dyDescent="0.25">
      <c r="A14" s="378">
        <v>5</v>
      </c>
      <c r="B14" s="380" t="s">
        <v>306</v>
      </c>
      <c r="C14" s="224">
        <f ca="1">SUM(C10:C13)</f>
        <v>986305807</v>
      </c>
      <c r="D14" s="224">
        <f t="shared" ca="1" si="1"/>
        <v>1035621097.35</v>
      </c>
      <c r="E14" s="224">
        <f t="shared" ca="1" si="1"/>
        <v>1087402152.2175</v>
      </c>
      <c r="F14" s="225">
        <f t="shared" ca="1" si="1"/>
        <v>1141772259.8283751</v>
      </c>
    </row>
    <row r="15" spans="1:49" x14ac:dyDescent="0.25">
      <c r="A15" s="378">
        <v>6</v>
      </c>
      <c r="B15" s="379" t="s">
        <v>40</v>
      </c>
      <c r="C15" s="228">
        <f>'1.melléklet.Önkormányzat'!D50</f>
        <v>505482006</v>
      </c>
      <c r="D15" s="228">
        <f t="shared" si="1"/>
        <v>530756106.30000001</v>
      </c>
      <c r="E15" s="228">
        <f t="shared" si="1"/>
        <v>557293911.61500001</v>
      </c>
      <c r="F15" s="229">
        <f t="shared" si="1"/>
        <v>585158607.19575</v>
      </c>
    </row>
    <row r="16" spans="1:49" ht="30" customHeight="1" x14ac:dyDescent="0.25">
      <c r="A16" s="378">
        <v>7</v>
      </c>
      <c r="B16" s="379" t="s">
        <v>307</v>
      </c>
      <c r="C16" s="228">
        <f>'1.melléklet.Önkormányzat'!D51</f>
        <v>62925854</v>
      </c>
      <c r="D16" s="228">
        <f t="shared" si="1"/>
        <v>66072146.700000003</v>
      </c>
      <c r="E16" s="228">
        <f t="shared" si="1"/>
        <v>69375754.035000011</v>
      </c>
      <c r="F16" s="229">
        <f t="shared" si="1"/>
        <v>72844541.736750022</v>
      </c>
    </row>
    <row r="17" spans="1:8" x14ac:dyDescent="0.25">
      <c r="A17" s="378">
        <v>8</v>
      </c>
      <c r="B17" s="379" t="s">
        <v>41</v>
      </c>
      <c r="C17" s="228">
        <f>'1.melléklet.Önkormányzat'!D52</f>
        <v>357078269</v>
      </c>
      <c r="D17" s="228">
        <f t="shared" si="1"/>
        <v>374932182.44999999</v>
      </c>
      <c r="E17" s="228">
        <f t="shared" si="1"/>
        <v>393678791.57249999</v>
      </c>
      <c r="F17" s="229">
        <f t="shared" si="1"/>
        <v>413362731.15112501</v>
      </c>
    </row>
    <row r="18" spans="1:8" x14ac:dyDescent="0.25">
      <c r="A18" s="378">
        <v>9</v>
      </c>
      <c r="B18" s="379" t="s">
        <v>42</v>
      </c>
      <c r="C18" s="228">
        <f>'1.melléklet.Önkormányzat'!D53</f>
        <v>33325377</v>
      </c>
      <c r="D18" s="228">
        <f t="shared" si="1"/>
        <v>34991645.850000001</v>
      </c>
      <c r="E18" s="228">
        <f t="shared" si="1"/>
        <v>36741228.142500006</v>
      </c>
      <c r="F18" s="229">
        <f t="shared" si="1"/>
        <v>38578289.549625009</v>
      </c>
    </row>
    <row r="19" spans="1:8" x14ac:dyDescent="0.25">
      <c r="A19" s="378">
        <v>10</v>
      </c>
      <c r="B19" s="379" t="s">
        <v>43</v>
      </c>
      <c r="C19" s="228">
        <f>'1.melléklet.Önkormányzat'!D54</f>
        <v>50823748</v>
      </c>
      <c r="D19" s="228">
        <f t="shared" si="1"/>
        <v>53364935.400000006</v>
      </c>
      <c r="E19" s="228">
        <f t="shared" si="1"/>
        <v>56033182.170000009</v>
      </c>
      <c r="F19" s="229">
        <f t="shared" si="1"/>
        <v>58834841.278500013</v>
      </c>
    </row>
    <row r="20" spans="1:8" x14ac:dyDescent="0.25">
      <c r="A20" s="378">
        <v>11</v>
      </c>
      <c r="B20" s="379" t="s">
        <v>44</v>
      </c>
      <c r="C20" s="228">
        <f>'14.melléklet.ált.,céltartalék'!D15+'14.melléklet.ált.,céltartalék'!D13</f>
        <v>84696011</v>
      </c>
      <c r="D20" s="228">
        <f t="shared" si="1"/>
        <v>88930811.549999997</v>
      </c>
      <c r="E20" s="228">
        <f t="shared" si="1"/>
        <v>93377352.127499998</v>
      </c>
      <c r="F20" s="229">
        <f t="shared" si="1"/>
        <v>98046219.733875006</v>
      </c>
    </row>
    <row r="21" spans="1:8" x14ac:dyDescent="0.25">
      <c r="A21" s="378">
        <v>12</v>
      </c>
      <c r="B21" s="380" t="s">
        <v>308</v>
      </c>
      <c r="C21" s="224">
        <f>SUM(C15:C20)</f>
        <v>1094331265</v>
      </c>
      <c r="D21" s="224">
        <f>SUM(D15:D20)</f>
        <v>1149047828.25</v>
      </c>
      <c r="E21" s="224">
        <f>SUM(E15:E20)</f>
        <v>1206500219.6625001</v>
      </c>
      <c r="F21" s="225">
        <f>SUM(F15:F20)</f>
        <v>1266825230.6456251</v>
      </c>
    </row>
    <row r="22" spans="1:8" x14ac:dyDescent="0.25">
      <c r="A22" s="378">
        <v>13</v>
      </c>
      <c r="B22" s="380" t="s">
        <v>309</v>
      </c>
      <c r="C22" s="228">
        <f ca="1">C14-C21</f>
        <v>-108025458</v>
      </c>
      <c r="D22" s="228">
        <f ca="1">D14-D21</f>
        <v>-113426730.89999998</v>
      </c>
      <c r="E22" s="228">
        <f ca="1">E14-E21</f>
        <v>-119098067.44500017</v>
      </c>
      <c r="F22" s="229">
        <f ca="1">F14-F21</f>
        <v>-125052970.81725001</v>
      </c>
      <c r="H22" s="381"/>
    </row>
    <row r="23" spans="1:8" ht="34.5" customHeight="1" x14ac:dyDescent="0.25">
      <c r="A23" s="378">
        <v>14</v>
      </c>
      <c r="B23" s="380" t="s">
        <v>310</v>
      </c>
      <c r="C23" s="228">
        <f ca="1">(C22)*-1</f>
        <v>108025458</v>
      </c>
      <c r="D23" s="228">
        <f ca="1">(D22)*-1</f>
        <v>113426730.89999998</v>
      </c>
      <c r="E23" s="228">
        <f ca="1">(E22)*-1</f>
        <v>119098067.44500017</v>
      </c>
      <c r="F23" s="229">
        <f ca="1">(F22)*-1</f>
        <v>125052970.81725001</v>
      </c>
    </row>
    <row r="24" spans="1:8" ht="19.5" customHeight="1" x14ac:dyDescent="0.25">
      <c r="A24" s="378"/>
      <c r="B24" s="382" t="s">
        <v>311</v>
      </c>
      <c r="C24" s="554"/>
      <c r="D24" s="228"/>
      <c r="E24" s="228"/>
      <c r="F24" s="229"/>
    </row>
    <row r="25" spans="1:8" x14ac:dyDescent="0.25">
      <c r="A25" s="378">
        <v>15</v>
      </c>
      <c r="B25" s="379" t="s">
        <v>19</v>
      </c>
      <c r="C25" s="228"/>
      <c r="D25" s="228">
        <v>0</v>
      </c>
      <c r="E25" s="228">
        <v>0</v>
      </c>
      <c r="F25" s="229">
        <v>0</v>
      </c>
    </row>
    <row r="26" spans="1:8" ht="31.5" customHeight="1" x14ac:dyDescent="0.25">
      <c r="A26" s="378">
        <v>16</v>
      </c>
      <c r="B26" s="383" t="s">
        <v>312</v>
      </c>
      <c r="C26" s="228">
        <f>'1.melléklet.Önkormányzat'!D22</f>
        <v>736383061</v>
      </c>
      <c r="D26" s="228">
        <f t="shared" ref="D26:F27" si="2">C26*1.05</f>
        <v>773202214.05000007</v>
      </c>
      <c r="E26" s="228">
        <f t="shared" si="2"/>
        <v>811862324.75250006</v>
      </c>
      <c r="F26" s="229">
        <f t="shared" si="2"/>
        <v>852455440.99012506</v>
      </c>
    </row>
    <row r="27" spans="1:8" ht="30.75" customHeight="1" x14ac:dyDescent="0.25">
      <c r="A27" s="378">
        <v>17</v>
      </c>
      <c r="B27" s="379" t="s">
        <v>77</v>
      </c>
      <c r="C27" s="228">
        <f>'1.melléklet.Önkormányzat'!D21+'1.melléklet.Önkormányzat'!D31</f>
        <v>30072300</v>
      </c>
      <c r="D27" s="228">
        <f t="shared" si="2"/>
        <v>31575915</v>
      </c>
      <c r="E27" s="228">
        <f t="shared" si="2"/>
        <v>33154710.75</v>
      </c>
      <c r="F27" s="229">
        <f t="shared" si="2"/>
        <v>34812446.287500001</v>
      </c>
    </row>
    <row r="28" spans="1:8" ht="31.5" x14ac:dyDescent="0.25">
      <c r="A28" s="378">
        <v>18</v>
      </c>
      <c r="B28" s="380" t="s">
        <v>313</v>
      </c>
      <c r="C28" s="224">
        <f>SUM(C25:C27)</f>
        <v>766455361</v>
      </c>
      <c r="D28" s="224">
        <f>SUM(D25:D27)</f>
        <v>804778129.05000007</v>
      </c>
      <c r="E28" s="224">
        <f>SUM(E25:E27)</f>
        <v>845017035.50250006</v>
      </c>
      <c r="F28" s="225">
        <f>SUM(F25:F27)</f>
        <v>887267887.27762508</v>
      </c>
    </row>
    <row r="29" spans="1:8" x14ac:dyDescent="0.25">
      <c r="A29" s="378">
        <v>19</v>
      </c>
      <c r="B29" s="379" t="s">
        <v>46</v>
      </c>
      <c r="C29" s="228">
        <f>'1.melléklet.Önkormányzat'!D59</f>
        <v>835927623</v>
      </c>
      <c r="D29" s="228">
        <f t="shared" ref="D29:F33" si="3">C29*1.05</f>
        <v>877724004.1500001</v>
      </c>
      <c r="E29" s="228">
        <f t="shared" si="3"/>
        <v>921610204.3575002</v>
      </c>
      <c r="F29" s="229">
        <f t="shared" si="3"/>
        <v>967690714.5753752</v>
      </c>
    </row>
    <row r="30" spans="1:8" x14ac:dyDescent="0.25">
      <c r="A30" s="378">
        <v>20</v>
      </c>
      <c r="B30" s="379" t="s">
        <v>47</v>
      </c>
      <c r="C30" s="228">
        <f>'1.melléklet.Önkormányzat'!D61</f>
        <v>208395985</v>
      </c>
      <c r="D30" s="228">
        <f t="shared" si="3"/>
        <v>218815784.25</v>
      </c>
      <c r="E30" s="228">
        <f t="shared" si="3"/>
        <v>229756573.46250001</v>
      </c>
      <c r="F30" s="229">
        <f t="shared" si="3"/>
        <v>241244402.135625</v>
      </c>
    </row>
    <row r="31" spans="1:8" x14ac:dyDescent="0.25">
      <c r="A31" s="378">
        <v>21</v>
      </c>
      <c r="B31" s="379" t="s">
        <v>293</v>
      </c>
      <c r="C31" s="228">
        <f>'1.melléklet.Önkormányzat'!D65</f>
        <v>5000000</v>
      </c>
      <c r="D31" s="228">
        <f t="shared" si="3"/>
        <v>5250000</v>
      </c>
      <c r="E31" s="228">
        <f t="shared" si="3"/>
        <v>5512500</v>
      </c>
      <c r="F31" s="229">
        <f t="shared" si="3"/>
        <v>5788125</v>
      </c>
    </row>
    <row r="32" spans="1:8" x14ac:dyDescent="0.25">
      <c r="A32" s="378">
        <v>22</v>
      </c>
      <c r="B32" s="379" t="s">
        <v>314</v>
      </c>
      <c r="C32" s="228">
        <f>'14.melléklet.ált.,céltartalék'!D22</f>
        <v>15724913</v>
      </c>
      <c r="D32" s="228">
        <f t="shared" si="3"/>
        <v>16511158.65</v>
      </c>
      <c r="E32" s="228">
        <f t="shared" si="3"/>
        <v>17336716.5825</v>
      </c>
      <c r="F32" s="229">
        <f t="shared" si="3"/>
        <v>18203552.411625002</v>
      </c>
    </row>
    <row r="33" spans="1:7" ht="31.5" x14ac:dyDescent="0.25">
      <c r="A33" s="378">
        <v>23</v>
      </c>
      <c r="B33" s="379" t="s">
        <v>315</v>
      </c>
      <c r="C33" s="228">
        <f>'1.melléklet.Önkormányzat'!D67</f>
        <v>24319431</v>
      </c>
      <c r="D33" s="228">
        <f t="shared" si="3"/>
        <v>25535402.550000001</v>
      </c>
      <c r="E33" s="228">
        <f t="shared" si="3"/>
        <v>26812172.677500002</v>
      </c>
      <c r="F33" s="229">
        <f t="shared" si="3"/>
        <v>28152781.311375003</v>
      </c>
    </row>
    <row r="34" spans="1:7" x14ac:dyDescent="0.25">
      <c r="A34" s="378">
        <v>24</v>
      </c>
      <c r="B34" s="380" t="s">
        <v>316</v>
      </c>
      <c r="C34" s="224">
        <f>SUM(C29:C33)</f>
        <v>1089367952</v>
      </c>
      <c r="D34" s="224">
        <f>SUM(D29:D33)</f>
        <v>1143836349.6000001</v>
      </c>
      <c r="E34" s="224">
        <f>SUM(E29:E33)</f>
        <v>1201028167.0800002</v>
      </c>
      <c r="F34" s="225">
        <f>SUM(F29:F33)</f>
        <v>1261079575.434</v>
      </c>
    </row>
    <row r="35" spans="1:7" ht="14.25" customHeight="1" x14ac:dyDescent="0.25">
      <c r="A35" s="378">
        <v>25</v>
      </c>
      <c r="B35" s="380" t="s">
        <v>317</v>
      </c>
      <c r="C35" s="228">
        <f>C28-C34</f>
        <v>-322912591</v>
      </c>
      <c r="D35" s="228">
        <f>D28-D34</f>
        <v>-339058220.55000007</v>
      </c>
      <c r="E35" s="228">
        <f>E28-E34</f>
        <v>-356011131.5775001</v>
      </c>
      <c r="F35" s="229">
        <f>F28-F34</f>
        <v>-373811688.15637493</v>
      </c>
    </row>
    <row r="36" spans="1:7" ht="30" customHeight="1" x14ac:dyDescent="0.25">
      <c r="A36" s="378">
        <v>26</v>
      </c>
      <c r="B36" s="384" t="s">
        <v>318</v>
      </c>
      <c r="C36" s="228">
        <f>(C35)*-1</f>
        <v>322912591</v>
      </c>
      <c r="D36" s="228">
        <f>(D35)*-1</f>
        <v>339058220.55000007</v>
      </c>
      <c r="E36" s="228">
        <f>(E35)*-1</f>
        <v>356011131.5775001</v>
      </c>
      <c r="F36" s="229">
        <f>(F35)*-1</f>
        <v>373811688.15637493</v>
      </c>
    </row>
    <row r="37" spans="1:7" ht="30" customHeight="1" x14ac:dyDescent="0.25">
      <c r="A37" s="378">
        <v>27</v>
      </c>
      <c r="B37" s="384" t="s">
        <v>319</v>
      </c>
      <c r="C37" s="228">
        <v>0</v>
      </c>
      <c r="D37" s="228">
        <v>0</v>
      </c>
      <c r="E37" s="228">
        <v>0</v>
      </c>
      <c r="F37" s="229">
        <v>0</v>
      </c>
    </row>
    <row r="38" spans="1:7" ht="31.5" x14ac:dyDescent="0.25">
      <c r="A38" s="378">
        <v>28</v>
      </c>
      <c r="B38" s="380" t="s">
        <v>320</v>
      </c>
      <c r="C38" s="342">
        <f ca="1">C14+C23+C28+C36</f>
        <v>2183699217</v>
      </c>
      <c r="D38" s="342">
        <f ca="1">D14+D23+D28+D36</f>
        <v>2292884177.8500004</v>
      </c>
      <c r="E38" s="342">
        <f ca="1">E14+E23+E28+E36</f>
        <v>2407528386.7425003</v>
      </c>
      <c r="F38" s="343">
        <f ca="1">F14+F23+F28+F36</f>
        <v>2527904806.0796251</v>
      </c>
      <c r="G38" s="381"/>
    </row>
    <row r="39" spans="1:7" ht="16.5" thickBot="1" x14ac:dyDescent="0.3">
      <c r="A39" s="385">
        <v>29</v>
      </c>
      <c r="B39" s="386" t="s">
        <v>321</v>
      </c>
      <c r="C39" s="346">
        <f>C21+C34</f>
        <v>2183699217</v>
      </c>
      <c r="D39" s="346">
        <f>D21+D34</f>
        <v>2292884177.8500004</v>
      </c>
      <c r="E39" s="346">
        <f>E21+E34</f>
        <v>2407528386.7425003</v>
      </c>
      <c r="F39" s="550">
        <f>F21+F34</f>
        <v>2527904806.0796251</v>
      </c>
    </row>
    <row r="40" spans="1:7" x14ac:dyDescent="0.25">
      <c r="B40" s="387"/>
      <c r="C40" s="388"/>
      <c r="D40" s="389"/>
      <c r="E40" s="389"/>
      <c r="F40" s="389"/>
    </row>
    <row r="41" spans="1:7" x14ac:dyDescent="0.25">
      <c r="B41" s="390"/>
      <c r="C41" s="388"/>
      <c r="D41" s="389"/>
      <c r="E41" s="389"/>
      <c r="F41" s="389"/>
    </row>
    <row r="42" spans="1:7" x14ac:dyDescent="0.25">
      <c r="B42" s="387"/>
      <c r="C42" s="388"/>
      <c r="D42" s="389"/>
      <c r="E42" s="389"/>
      <c r="F42" s="389"/>
    </row>
    <row r="43" spans="1:7" x14ac:dyDescent="0.25">
      <c r="B43" s="391"/>
      <c r="C43" s="392"/>
      <c r="D43" s="393"/>
      <c r="E43" s="393"/>
      <c r="F43" s="393"/>
    </row>
    <row r="44" spans="1:7" x14ac:dyDescent="0.25">
      <c r="B44" s="387"/>
      <c r="C44" s="394"/>
      <c r="D44" s="393"/>
      <c r="E44" s="393"/>
      <c r="F44" s="393"/>
    </row>
    <row r="45" spans="1:7" x14ac:dyDescent="0.25">
      <c r="B45" s="387"/>
      <c r="C45" s="394"/>
      <c r="D45" s="393"/>
      <c r="E45" s="393"/>
      <c r="F45" s="393"/>
    </row>
    <row r="46" spans="1:7" x14ac:dyDescent="0.25">
      <c r="B46" s="387"/>
      <c r="C46" s="394"/>
      <c r="D46" s="393"/>
      <c r="E46" s="393"/>
      <c r="F46" s="393"/>
    </row>
    <row r="47" spans="1:7" x14ac:dyDescent="0.25">
      <c r="B47" s="395"/>
      <c r="C47" s="393"/>
      <c r="D47" s="393"/>
      <c r="E47" s="393"/>
      <c r="F47" s="393"/>
    </row>
    <row r="48" spans="1:7" x14ac:dyDescent="0.25">
      <c r="B48" s="395"/>
      <c r="C48" s="393"/>
      <c r="D48" s="393"/>
      <c r="E48" s="393"/>
      <c r="F48" s="393"/>
    </row>
    <row r="49" spans="2:6" x14ac:dyDescent="0.25">
      <c r="B49" s="395"/>
      <c r="C49" s="393"/>
      <c r="D49" s="393"/>
      <c r="E49" s="393"/>
      <c r="F49" s="393"/>
    </row>
    <row r="50" spans="2:6" x14ac:dyDescent="0.25">
      <c r="B50" s="395"/>
      <c r="C50" s="393"/>
      <c r="D50" s="393"/>
      <c r="E50" s="393"/>
      <c r="F50" s="393"/>
    </row>
    <row r="51" spans="2:6" x14ac:dyDescent="0.25">
      <c r="B51" s="395"/>
      <c r="C51" s="393"/>
      <c r="D51" s="393"/>
      <c r="E51" s="393"/>
      <c r="F51" s="393"/>
    </row>
    <row r="52" spans="2:6" x14ac:dyDescent="0.25">
      <c r="B52" s="395"/>
      <c r="C52" s="393"/>
      <c r="D52" s="393"/>
      <c r="E52" s="393"/>
      <c r="F52" s="393"/>
    </row>
    <row r="53" spans="2:6" x14ac:dyDescent="0.25">
      <c r="B53" s="395"/>
      <c r="C53" s="393"/>
      <c r="D53" s="393"/>
      <c r="E53" s="393"/>
      <c r="F53" s="393"/>
    </row>
    <row r="54" spans="2:6" x14ac:dyDescent="0.25">
      <c r="B54" s="395"/>
      <c r="C54" s="393"/>
      <c r="D54" s="393"/>
      <c r="E54" s="393"/>
      <c r="F54" s="393"/>
    </row>
    <row r="55" spans="2:6" x14ac:dyDescent="0.25">
      <c r="B55" s="395"/>
      <c r="C55" s="393"/>
      <c r="D55" s="393"/>
      <c r="E55" s="393"/>
      <c r="F55" s="393"/>
    </row>
    <row r="56" spans="2:6" x14ac:dyDescent="0.25">
      <c r="B56" s="395"/>
      <c r="C56" s="393"/>
      <c r="D56" s="393"/>
      <c r="E56" s="393"/>
      <c r="F56" s="393"/>
    </row>
    <row r="57" spans="2:6" x14ac:dyDescent="0.25">
      <c r="B57" s="395"/>
      <c r="C57" s="393"/>
      <c r="D57" s="393"/>
      <c r="E57" s="393"/>
      <c r="F57" s="393"/>
    </row>
    <row r="58" spans="2:6" x14ac:dyDescent="0.25">
      <c r="B58" s="395"/>
      <c r="C58" s="393"/>
      <c r="D58" s="393"/>
      <c r="E58" s="393"/>
      <c r="F58" s="393"/>
    </row>
    <row r="59" spans="2:6" x14ac:dyDescent="0.25">
      <c r="B59" s="395"/>
      <c r="C59" s="393"/>
      <c r="D59" s="393"/>
      <c r="E59" s="393"/>
      <c r="F59" s="393"/>
    </row>
  </sheetData>
  <mergeCells count="4">
    <mergeCell ref="A1:F1"/>
    <mergeCell ref="A3:F3"/>
    <mergeCell ref="A5:F5"/>
    <mergeCell ref="A6:F6"/>
  </mergeCells>
  <pageMargins left="0.78740157480314965" right="0.78740157480314965" top="0.19687499999999999" bottom="0.98425196850393704" header="0.51181102362204722" footer="0.51181102362204722"/>
  <pageSetup paperSize="9" scale="90" orientation="portrait" r:id="rId1"/>
  <headerFooter alignWithMargins="0"/>
  <ignoredErrors>
    <ignoredError sqref="D28:F2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AW62"/>
  <sheetViews>
    <sheetView view="pageLayout" zoomScale="85" zoomScalePageLayoutView="85" workbookViewId="0">
      <selection activeCell="A3" sqref="A3:H3"/>
    </sheetView>
  </sheetViews>
  <sheetFormatPr defaultColWidth="9.140625" defaultRowHeight="12.75" x14ac:dyDescent="0.2"/>
  <cols>
    <col min="1" max="1" width="5" style="216" customWidth="1"/>
    <col min="2" max="2" width="33.85546875" style="429" customWidth="1"/>
    <col min="3" max="9" width="12.7109375" style="216" customWidth="1"/>
    <col min="10" max="16384" width="9.140625" style="216"/>
  </cols>
  <sheetData>
    <row r="1" spans="1:49" s="201" customFormat="1" ht="27.75" customHeight="1" x14ac:dyDescent="0.2">
      <c r="A1" s="787"/>
      <c r="B1" s="788"/>
      <c r="C1" s="788"/>
      <c r="D1" s="788"/>
      <c r="E1" s="788"/>
      <c r="F1" s="788"/>
      <c r="G1" s="788"/>
      <c r="H1" s="788"/>
      <c r="I1" s="323"/>
      <c r="J1" s="324"/>
      <c r="K1" s="324"/>
      <c r="L1" s="324"/>
      <c r="M1" s="324"/>
      <c r="N1" s="324"/>
      <c r="O1" s="324"/>
      <c r="P1" s="324"/>
      <c r="Q1" s="324"/>
      <c r="R1" s="324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</row>
    <row r="2" spans="1:49" s="201" customFormat="1" ht="12" x14ac:dyDescent="0.2">
      <c r="A2" s="202"/>
      <c r="B2" s="203"/>
      <c r="C2" s="203"/>
      <c r="D2" s="203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</row>
    <row r="3" spans="1:49" s="201" customFormat="1" ht="28.5" customHeight="1" x14ac:dyDescent="0.2">
      <c r="A3" s="789" t="s">
        <v>518</v>
      </c>
      <c r="B3" s="790"/>
      <c r="C3" s="790"/>
      <c r="D3" s="790"/>
      <c r="E3" s="790"/>
      <c r="F3" s="790"/>
      <c r="G3" s="790"/>
      <c r="H3" s="790"/>
      <c r="I3" s="327"/>
      <c r="J3" s="324"/>
      <c r="K3" s="324"/>
      <c r="L3" s="324"/>
      <c r="M3" s="324"/>
      <c r="N3" s="324"/>
      <c r="O3" s="324"/>
      <c r="P3" s="324"/>
      <c r="Q3" s="324"/>
      <c r="R3" s="324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</row>
    <row r="4" spans="1:49" s="201" customFormat="1" ht="12" x14ac:dyDescent="0.2">
      <c r="A4" s="206"/>
      <c r="B4" s="207"/>
      <c r="C4" s="207"/>
      <c r="D4" s="207"/>
      <c r="E4" s="328"/>
      <c r="F4" s="328"/>
      <c r="G4" s="328"/>
      <c r="H4" s="328"/>
      <c r="I4" s="328"/>
      <c r="J4" s="329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</row>
    <row r="5" spans="1:49" s="201" customFormat="1" ht="48" customHeight="1" x14ac:dyDescent="0.25">
      <c r="A5" s="791" t="s">
        <v>322</v>
      </c>
      <c r="B5" s="792"/>
      <c r="C5" s="792"/>
      <c r="D5" s="792"/>
      <c r="E5" s="792"/>
      <c r="F5" s="792"/>
      <c r="G5" s="792"/>
      <c r="H5" s="792"/>
      <c r="I5" s="330"/>
      <c r="J5" s="331"/>
      <c r="K5" s="331"/>
      <c r="L5" s="331"/>
      <c r="M5" s="331"/>
      <c r="N5" s="331"/>
      <c r="O5" s="331"/>
      <c r="P5" s="331"/>
      <c r="Q5" s="331"/>
      <c r="R5" s="331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</row>
    <row r="6" spans="1:49" s="201" customFormat="1" ht="22.5" customHeight="1" thickBot="1" x14ac:dyDescent="0.25">
      <c r="A6" s="782" t="s">
        <v>426</v>
      </c>
      <c r="B6" s="782"/>
      <c r="C6" s="782"/>
      <c r="D6" s="782"/>
      <c r="E6" s="782"/>
      <c r="F6" s="782"/>
      <c r="G6" s="782"/>
      <c r="H6" s="782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</row>
    <row r="7" spans="1:49" ht="15.75" x14ac:dyDescent="0.25">
      <c r="A7" s="397"/>
      <c r="B7" s="398"/>
      <c r="C7" s="399">
        <v>2022</v>
      </c>
      <c r="D7" s="399">
        <v>2023</v>
      </c>
      <c r="E7" s="399">
        <v>2024</v>
      </c>
      <c r="F7" s="399">
        <v>2025</v>
      </c>
      <c r="G7" s="399">
        <v>2026</v>
      </c>
      <c r="H7" s="400" t="s">
        <v>88</v>
      </c>
      <c r="I7" s="401"/>
    </row>
    <row r="8" spans="1:49" ht="15.75" x14ac:dyDescent="0.25">
      <c r="A8" s="402"/>
      <c r="B8" s="403" t="s">
        <v>323</v>
      </c>
      <c r="C8" s="404">
        <v>0</v>
      </c>
      <c r="D8" s="404">
        <v>0</v>
      </c>
      <c r="E8" s="404">
        <v>0</v>
      </c>
      <c r="F8" s="404">
        <v>0</v>
      </c>
      <c r="G8" s="404">
        <v>0</v>
      </c>
      <c r="H8" s="404">
        <v>0</v>
      </c>
      <c r="I8" s="406"/>
    </row>
    <row r="9" spans="1:49" ht="15.75" x14ac:dyDescent="0.25">
      <c r="A9" s="402"/>
      <c r="B9" s="403"/>
      <c r="C9" s="404"/>
      <c r="D9" s="404"/>
      <c r="E9" s="404"/>
      <c r="F9" s="404"/>
      <c r="G9" s="404"/>
      <c r="H9" s="405"/>
      <c r="I9" s="406"/>
    </row>
    <row r="10" spans="1:49" ht="15.75" x14ac:dyDescent="0.25">
      <c r="A10" s="407"/>
      <c r="B10" s="403" t="s">
        <v>324</v>
      </c>
      <c r="C10" s="408"/>
      <c r="D10" s="408"/>
      <c r="E10" s="408"/>
      <c r="F10" s="408"/>
      <c r="G10" s="408"/>
      <c r="H10" s="409"/>
      <c r="I10" s="410"/>
      <c r="J10" s="283"/>
    </row>
    <row r="11" spans="1:49" ht="15.75" x14ac:dyDescent="0.25">
      <c r="A11" s="407"/>
      <c r="B11" s="411"/>
      <c r="C11" s="408"/>
      <c r="D11" s="408"/>
      <c r="E11" s="408"/>
      <c r="F11" s="408"/>
      <c r="G11" s="408"/>
      <c r="H11" s="409">
        <f>SUM(B11:G11)</f>
        <v>0</v>
      </c>
      <c r="I11" s="410"/>
      <c r="J11" s="283"/>
    </row>
    <row r="12" spans="1:49" ht="15.75" x14ac:dyDescent="0.25">
      <c r="A12" s="407"/>
      <c r="B12" s="412"/>
      <c r="C12" s="408"/>
      <c r="D12" s="408"/>
      <c r="E12" s="408"/>
      <c r="F12" s="408"/>
      <c r="G12" s="408"/>
      <c r="H12" s="409"/>
      <c r="I12" s="410"/>
      <c r="J12" s="283"/>
    </row>
    <row r="13" spans="1:49" ht="16.5" thickBot="1" x14ac:dyDescent="0.3">
      <c r="A13" s="413"/>
      <c r="B13" s="414" t="s">
        <v>325</v>
      </c>
      <c r="C13" s="415">
        <f t="shared" ref="C13:H13" si="0">SUM(C10:C12)</f>
        <v>0</v>
      </c>
      <c r="D13" s="415">
        <f t="shared" si="0"/>
        <v>0</v>
      </c>
      <c r="E13" s="415">
        <f t="shared" si="0"/>
        <v>0</v>
      </c>
      <c r="F13" s="415">
        <f t="shared" si="0"/>
        <v>0</v>
      </c>
      <c r="G13" s="415"/>
      <c r="H13" s="416">
        <f t="shared" si="0"/>
        <v>0</v>
      </c>
      <c r="I13" s="410"/>
      <c r="J13" s="283"/>
    </row>
    <row r="14" spans="1:49" ht="15.75" x14ac:dyDescent="0.25">
      <c r="A14" s="406"/>
      <c r="B14" s="417"/>
      <c r="C14" s="418"/>
      <c r="D14" s="418"/>
      <c r="E14" s="418"/>
      <c r="F14" s="418"/>
      <c r="G14" s="418"/>
      <c r="H14" s="418"/>
      <c r="I14" s="418"/>
      <c r="J14" s="283"/>
    </row>
    <row r="15" spans="1:49" ht="15.75" x14ac:dyDescent="0.25">
      <c r="A15" s="419"/>
      <c r="B15" s="419"/>
      <c r="C15" s="420"/>
      <c r="D15" s="420"/>
      <c r="E15" s="420"/>
      <c r="F15" s="420"/>
      <c r="G15" s="420"/>
      <c r="H15" s="410"/>
      <c r="I15" s="410"/>
      <c r="J15" s="283"/>
    </row>
    <row r="16" spans="1:49" ht="15.75" x14ac:dyDescent="0.25">
      <c r="A16" s="419"/>
      <c r="B16" s="419"/>
      <c r="C16" s="420"/>
      <c r="D16" s="420"/>
      <c r="E16" s="420"/>
      <c r="F16" s="420"/>
      <c r="G16" s="420"/>
      <c r="H16" s="410"/>
      <c r="I16" s="410"/>
      <c r="J16" s="283"/>
    </row>
    <row r="17" spans="1:10" ht="15.75" x14ac:dyDescent="0.25">
      <c r="A17" s="419"/>
      <c r="B17" s="419"/>
      <c r="C17" s="421"/>
      <c r="D17" s="421"/>
      <c r="E17" s="421"/>
      <c r="F17" s="421"/>
      <c r="G17" s="421"/>
      <c r="H17" s="421"/>
      <c r="I17" s="410"/>
      <c r="J17" s="283"/>
    </row>
    <row r="18" spans="1:10" ht="15.75" x14ac:dyDescent="0.25">
      <c r="A18" s="422"/>
      <c r="B18" s="375"/>
      <c r="C18" s="410"/>
      <c r="D18" s="410"/>
      <c r="E18" s="410"/>
      <c r="F18" s="410"/>
      <c r="G18" s="410"/>
      <c r="H18" s="410"/>
      <c r="I18" s="410"/>
      <c r="J18" s="283"/>
    </row>
    <row r="19" spans="1:10" ht="15.75" x14ac:dyDescent="0.25">
      <c r="A19" s="422"/>
      <c r="B19" s="375"/>
      <c r="C19" s="410"/>
      <c r="D19" s="410"/>
      <c r="E19" s="410"/>
      <c r="F19" s="410"/>
      <c r="G19" s="410"/>
      <c r="H19" s="410"/>
      <c r="I19" s="410"/>
      <c r="J19" s="283"/>
    </row>
    <row r="20" spans="1:10" ht="15.75" x14ac:dyDescent="0.25">
      <c r="A20" s="422"/>
      <c r="B20" s="417"/>
      <c r="C20" s="418"/>
      <c r="D20" s="418"/>
      <c r="E20" s="418"/>
      <c r="F20" s="418"/>
      <c r="G20" s="418"/>
      <c r="H20" s="418"/>
      <c r="I20" s="418"/>
      <c r="J20" s="283"/>
    </row>
    <row r="21" spans="1:10" x14ac:dyDescent="0.2">
      <c r="A21" s="240"/>
      <c r="B21" s="307"/>
      <c r="C21" s="307"/>
      <c r="D21" s="307"/>
      <c r="E21" s="242"/>
      <c r="F21" s="242"/>
      <c r="G21" s="242"/>
      <c r="H21" s="242"/>
      <c r="I21" s="242"/>
      <c r="J21" s="283"/>
    </row>
    <row r="22" spans="1:10" x14ac:dyDescent="0.2">
      <c r="A22" s="423"/>
      <c r="B22" s="307"/>
      <c r="C22" s="307"/>
      <c r="D22" s="307"/>
      <c r="E22" s="242"/>
      <c r="F22" s="242"/>
      <c r="G22" s="242"/>
      <c r="H22" s="242"/>
      <c r="I22" s="242"/>
      <c r="J22" s="283"/>
    </row>
    <row r="23" spans="1:10" x14ac:dyDescent="0.2">
      <c r="A23" s="423"/>
      <c r="B23" s="307"/>
      <c r="C23" s="307"/>
      <c r="D23" s="307"/>
      <c r="E23" s="242"/>
      <c r="F23" s="242"/>
      <c r="G23" s="242"/>
      <c r="H23" s="242"/>
      <c r="I23" s="242"/>
      <c r="J23" s="283"/>
    </row>
    <row r="24" spans="1:10" x14ac:dyDescent="0.2">
      <c r="A24" s="423"/>
      <c r="B24" s="307"/>
      <c r="C24" s="307"/>
      <c r="D24" s="307"/>
      <c r="E24" s="424"/>
      <c r="F24" s="424"/>
      <c r="G24" s="424"/>
      <c r="H24" s="283"/>
      <c r="I24" s="283"/>
      <c r="J24" s="283"/>
    </row>
    <row r="25" spans="1:10" x14ac:dyDescent="0.2">
      <c r="A25" s="240"/>
      <c r="B25" s="307"/>
      <c r="C25" s="307"/>
      <c r="D25" s="307"/>
      <c r="E25" s="424"/>
      <c r="F25" s="424"/>
      <c r="G25" s="424"/>
      <c r="H25" s="283"/>
      <c r="I25" s="283"/>
      <c r="J25" s="283"/>
    </row>
    <row r="26" spans="1:10" x14ac:dyDescent="0.2">
      <c r="A26" s="423"/>
      <c r="B26" s="425"/>
      <c r="C26" s="425"/>
      <c r="D26" s="307"/>
      <c r="E26" s="424"/>
      <c r="F26" s="424"/>
      <c r="G26" s="424"/>
      <c r="H26" s="283"/>
      <c r="I26" s="283"/>
      <c r="J26" s="283"/>
    </row>
    <row r="27" spans="1:10" x14ac:dyDescent="0.2">
      <c r="A27" s="423"/>
      <c r="B27" s="307"/>
      <c r="C27" s="307"/>
      <c r="D27" s="307"/>
      <c r="E27" s="424"/>
      <c r="F27" s="424"/>
      <c r="G27" s="424"/>
      <c r="H27" s="283"/>
      <c r="I27" s="283"/>
      <c r="J27" s="283"/>
    </row>
    <row r="28" spans="1:10" x14ac:dyDescent="0.2">
      <c r="A28" s="240"/>
      <c r="B28" s="307"/>
      <c r="C28" s="307"/>
      <c r="D28" s="307"/>
      <c r="E28" s="424"/>
      <c r="F28" s="424"/>
      <c r="G28" s="424"/>
      <c r="H28" s="283"/>
      <c r="I28" s="283"/>
      <c r="J28" s="283"/>
    </row>
    <row r="29" spans="1:10" x14ac:dyDescent="0.2">
      <c r="A29" s="240"/>
      <c r="B29" s="307"/>
      <c r="C29" s="307"/>
      <c r="D29" s="307"/>
      <c r="E29" s="424"/>
      <c r="F29" s="424"/>
      <c r="G29" s="424"/>
      <c r="H29" s="283"/>
      <c r="I29" s="283"/>
      <c r="J29" s="283"/>
    </row>
    <row r="30" spans="1:10" x14ac:dyDescent="0.2">
      <c r="A30" s="423"/>
      <c r="B30" s="307"/>
      <c r="C30" s="307"/>
      <c r="D30" s="307"/>
      <c r="E30" s="424"/>
      <c r="F30" s="424"/>
      <c r="G30" s="424"/>
      <c r="H30" s="283"/>
      <c r="I30" s="283"/>
      <c r="J30" s="283"/>
    </row>
    <row r="31" spans="1:10" x14ac:dyDescent="0.2">
      <c r="A31" s="240"/>
      <c r="B31" s="307"/>
      <c r="C31" s="307"/>
      <c r="D31" s="307"/>
      <c r="E31" s="424"/>
      <c r="F31" s="424"/>
      <c r="G31" s="424"/>
      <c r="H31" s="283"/>
      <c r="I31" s="283"/>
      <c r="J31" s="283"/>
    </row>
    <row r="32" spans="1:10" x14ac:dyDescent="0.2">
      <c r="A32" s="240"/>
      <c r="B32" s="307"/>
      <c r="C32" s="307"/>
      <c r="D32" s="307"/>
      <c r="E32" s="424"/>
      <c r="F32" s="424"/>
      <c r="G32" s="424"/>
      <c r="H32" s="283"/>
      <c r="I32" s="283"/>
      <c r="J32" s="283"/>
    </row>
    <row r="33" spans="1:10" x14ac:dyDescent="0.2">
      <c r="A33" s="423"/>
      <c r="B33" s="425"/>
      <c r="C33" s="425"/>
      <c r="D33" s="307"/>
      <c r="E33" s="424"/>
      <c r="F33" s="424"/>
      <c r="G33" s="424"/>
      <c r="H33" s="283"/>
      <c r="I33" s="283"/>
      <c r="J33" s="283"/>
    </row>
    <row r="34" spans="1:10" x14ac:dyDescent="0.2">
      <c r="A34" s="423"/>
      <c r="B34" s="307"/>
      <c r="C34" s="307"/>
      <c r="D34" s="307"/>
      <c r="E34" s="424"/>
      <c r="F34" s="424"/>
      <c r="G34" s="424"/>
      <c r="H34" s="283"/>
      <c r="I34" s="283"/>
      <c r="J34" s="283"/>
    </row>
    <row r="35" spans="1:10" x14ac:dyDescent="0.2">
      <c r="A35" s="423"/>
      <c r="B35" s="425"/>
      <c r="C35" s="425"/>
      <c r="D35" s="307"/>
      <c r="E35" s="424"/>
      <c r="F35" s="424"/>
      <c r="G35" s="424"/>
      <c r="H35" s="283"/>
      <c r="I35" s="283"/>
      <c r="J35" s="283"/>
    </row>
    <row r="36" spans="1:10" x14ac:dyDescent="0.2">
      <c r="A36" s="423"/>
      <c r="B36" s="425"/>
      <c r="C36" s="425"/>
      <c r="D36" s="307"/>
      <c r="E36" s="424"/>
      <c r="F36" s="424"/>
      <c r="G36" s="424"/>
      <c r="H36" s="283"/>
      <c r="I36" s="283"/>
      <c r="J36" s="283"/>
    </row>
    <row r="37" spans="1:10" x14ac:dyDescent="0.2">
      <c r="A37" s="423"/>
      <c r="B37" s="425"/>
      <c r="C37" s="425"/>
      <c r="D37" s="307"/>
      <c r="E37" s="424"/>
      <c r="F37" s="424"/>
      <c r="G37" s="424"/>
      <c r="H37" s="283"/>
      <c r="I37" s="283"/>
      <c r="J37" s="283"/>
    </row>
    <row r="38" spans="1:10" x14ac:dyDescent="0.2">
      <c r="A38" s="423"/>
      <c r="B38" s="426"/>
      <c r="C38" s="307"/>
      <c r="D38" s="242"/>
      <c r="E38" s="424"/>
      <c r="F38" s="424"/>
      <c r="G38" s="424"/>
      <c r="H38" s="283"/>
      <c r="I38" s="283"/>
      <c r="J38" s="283"/>
    </row>
    <row r="39" spans="1:10" x14ac:dyDescent="0.2">
      <c r="A39" s="426"/>
      <c r="B39" s="427"/>
      <c r="C39" s="425"/>
      <c r="D39" s="242"/>
      <c r="E39" s="424"/>
      <c r="F39" s="424"/>
      <c r="G39" s="424"/>
      <c r="H39" s="283"/>
      <c r="I39" s="283"/>
      <c r="J39" s="283"/>
    </row>
    <row r="40" spans="1:10" x14ac:dyDescent="0.2">
      <c r="A40" s="240"/>
      <c r="B40" s="428"/>
      <c r="C40" s="245"/>
      <c r="D40" s="242"/>
      <c r="E40" s="283"/>
      <c r="F40" s="283"/>
      <c r="G40" s="283"/>
      <c r="H40" s="283"/>
      <c r="I40" s="283"/>
      <c r="J40" s="283"/>
    </row>
    <row r="41" spans="1:10" x14ac:dyDescent="0.2">
      <c r="A41" s="240"/>
      <c r="B41" s="240"/>
      <c r="C41" s="242"/>
      <c r="D41" s="242"/>
      <c r="E41" s="283"/>
      <c r="F41" s="283"/>
      <c r="G41" s="283"/>
      <c r="H41" s="283"/>
      <c r="I41" s="283"/>
      <c r="J41" s="283"/>
    </row>
    <row r="42" spans="1:10" x14ac:dyDescent="0.2">
      <c r="A42" s="290"/>
      <c r="B42" s="290"/>
      <c r="C42" s="424"/>
      <c r="D42" s="424"/>
      <c r="E42" s="283"/>
      <c r="F42" s="283"/>
      <c r="G42" s="283"/>
      <c r="H42" s="283"/>
      <c r="I42" s="283"/>
      <c r="J42" s="283"/>
    </row>
    <row r="43" spans="1:10" x14ac:dyDescent="0.2">
      <c r="A43" s="290"/>
      <c r="B43" s="290"/>
      <c r="C43" s="424"/>
      <c r="D43" s="424"/>
      <c r="E43" s="283"/>
      <c r="F43" s="283"/>
      <c r="G43" s="283"/>
      <c r="H43" s="283"/>
      <c r="I43" s="283"/>
      <c r="J43" s="283"/>
    </row>
    <row r="44" spans="1:10" x14ac:dyDescent="0.2">
      <c r="C44" s="283"/>
      <c r="D44" s="283"/>
      <c r="E44" s="283"/>
      <c r="F44" s="283"/>
      <c r="G44" s="283"/>
      <c r="H44" s="283"/>
      <c r="I44" s="283"/>
      <c r="J44" s="283"/>
    </row>
    <row r="45" spans="1:10" x14ac:dyDescent="0.2">
      <c r="C45" s="283"/>
      <c r="D45" s="283"/>
      <c r="E45" s="283"/>
      <c r="F45" s="283"/>
      <c r="G45" s="283"/>
      <c r="H45" s="283"/>
      <c r="I45" s="283"/>
      <c r="J45" s="283"/>
    </row>
    <row r="46" spans="1:10" x14ac:dyDescent="0.2">
      <c r="C46" s="283"/>
      <c r="D46" s="283"/>
      <c r="E46" s="283"/>
      <c r="F46" s="283"/>
      <c r="G46" s="283"/>
      <c r="H46" s="283"/>
      <c r="I46" s="283"/>
      <c r="J46" s="283"/>
    </row>
    <row r="47" spans="1:10" x14ac:dyDescent="0.2">
      <c r="C47" s="283"/>
      <c r="D47" s="283"/>
      <c r="E47" s="283"/>
      <c r="F47" s="283"/>
      <c r="G47" s="283"/>
      <c r="H47" s="283"/>
      <c r="I47" s="283"/>
      <c r="J47" s="283"/>
    </row>
    <row r="48" spans="1:10" x14ac:dyDescent="0.2">
      <c r="C48" s="283"/>
      <c r="D48" s="283"/>
      <c r="E48" s="283"/>
      <c r="F48" s="283"/>
      <c r="G48" s="283"/>
      <c r="H48" s="283"/>
      <c r="I48" s="283"/>
      <c r="J48" s="283"/>
    </row>
    <row r="49" spans="3:10" x14ac:dyDescent="0.2">
      <c r="C49" s="283"/>
      <c r="D49" s="283"/>
      <c r="E49" s="283"/>
      <c r="F49" s="283"/>
      <c r="G49" s="283"/>
      <c r="H49" s="283"/>
      <c r="I49" s="283"/>
      <c r="J49" s="283"/>
    </row>
    <row r="50" spans="3:10" x14ac:dyDescent="0.2">
      <c r="C50" s="283"/>
      <c r="D50" s="283"/>
      <c r="E50" s="283"/>
      <c r="F50" s="283"/>
      <c r="G50" s="283"/>
      <c r="H50" s="283"/>
      <c r="I50" s="283"/>
      <c r="J50" s="283"/>
    </row>
    <row r="51" spans="3:10" x14ac:dyDescent="0.2">
      <c r="C51" s="283"/>
      <c r="D51" s="283"/>
      <c r="E51" s="283"/>
      <c r="F51" s="283"/>
      <c r="G51" s="283"/>
      <c r="H51" s="283"/>
      <c r="I51" s="283"/>
      <c r="J51" s="283"/>
    </row>
    <row r="52" spans="3:10" x14ac:dyDescent="0.2">
      <c r="C52" s="283"/>
      <c r="D52" s="283"/>
      <c r="E52" s="283"/>
      <c r="F52" s="283"/>
      <c r="G52" s="283"/>
      <c r="H52" s="283"/>
      <c r="I52" s="283"/>
      <c r="J52" s="283"/>
    </row>
    <row r="53" spans="3:10" x14ac:dyDescent="0.2">
      <c r="C53" s="283"/>
      <c r="D53" s="283"/>
      <c r="E53" s="283"/>
      <c r="F53" s="283"/>
      <c r="G53" s="283"/>
      <c r="H53" s="283"/>
      <c r="I53" s="283"/>
      <c r="J53" s="283"/>
    </row>
    <row r="54" spans="3:10" x14ac:dyDescent="0.2">
      <c r="C54" s="283"/>
      <c r="D54" s="283"/>
      <c r="E54" s="283"/>
      <c r="F54" s="283"/>
      <c r="G54" s="283"/>
      <c r="H54" s="283"/>
      <c r="I54" s="283"/>
      <c r="J54" s="283"/>
    </row>
    <row r="55" spans="3:10" x14ac:dyDescent="0.2">
      <c r="C55" s="283"/>
      <c r="D55" s="283"/>
      <c r="E55" s="283"/>
      <c r="F55" s="283"/>
      <c r="G55" s="283"/>
      <c r="H55" s="283"/>
      <c r="I55" s="283"/>
      <c r="J55" s="283"/>
    </row>
    <row r="56" spans="3:10" x14ac:dyDescent="0.2">
      <c r="C56" s="283"/>
      <c r="D56" s="283"/>
      <c r="E56" s="283"/>
      <c r="F56" s="283"/>
      <c r="G56" s="283"/>
      <c r="H56" s="283"/>
      <c r="I56" s="283"/>
      <c r="J56" s="283"/>
    </row>
    <row r="57" spans="3:10" x14ac:dyDescent="0.2">
      <c r="C57" s="283"/>
      <c r="D57" s="283"/>
      <c r="E57" s="283"/>
      <c r="F57" s="283"/>
      <c r="G57" s="283"/>
      <c r="H57" s="283"/>
      <c r="I57" s="283"/>
      <c r="J57" s="283"/>
    </row>
    <row r="58" spans="3:10" x14ac:dyDescent="0.2">
      <c r="C58" s="283"/>
      <c r="D58" s="283"/>
      <c r="E58" s="283"/>
      <c r="F58" s="283"/>
      <c r="G58" s="283"/>
      <c r="H58" s="283"/>
      <c r="I58" s="283"/>
      <c r="J58" s="283"/>
    </row>
    <row r="59" spans="3:10" x14ac:dyDescent="0.2">
      <c r="C59" s="283"/>
      <c r="D59" s="283"/>
      <c r="E59" s="283"/>
      <c r="F59" s="283"/>
      <c r="G59" s="283"/>
      <c r="H59" s="283"/>
      <c r="I59" s="283"/>
      <c r="J59" s="283"/>
    </row>
    <row r="60" spans="3:10" x14ac:dyDescent="0.2">
      <c r="C60" s="283"/>
      <c r="D60" s="283"/>
      <c r="E60" s="283"/>
      <c r="F60" s="283"/>
      <c r="G60" s="283"/>
      <c r="H60" s="283"/>
      <c r="I60" s="283"/>
      <c r="J60" s="283"/>
    </row>
    <row r="61" spans="3:10" x14ac:dyDescent="0.2">
      <c r="C61" s="283"/>
      <c r="D61" s="283"/>
      <c r="E61" s="283"/>
      <c r="F61" s="283"/>
      <c r="G61" s="283"/>
      <c r="H61" s="283"/>
      <c r="I61" s="283"/>
      <c r="J61" s="283"/>
    </row>
    <row r="62" spans="3:10" x14ac:dyDescent="0.2">
      <c r="C62" s="283"/>
      <c r="D62" s="283"/>
      <c r="E62" s="283"/>
      <c r="F62" s="283"/>
      <c r="G62" s="283"/>
      <c r="H62" s="283"/>
      <c r="I62" s="283"/>
      <c r="J62" s="283"/>
    </row>
  </sheetData>
  <mergeCells count="4">
    <mergeCell ref="A1:H1"/>
    <mergeCell ref="A3:H3"/>
    <mergeCell ref="A5:H5"/>
    <mergeCell ref="A6:H6"/>
  </mergeCells>
  <printOptions horizontalCentered="1"/>
  <pageMargins left="0.74803149606299213" right="0.74803149606299213" top="0.20833333333333334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AW49"/>
  <sheetViews>
    <sheetView zoomScale="93" zoomScaleNormal="93" workbookViewId="0">
      <selection activeCell="O33" sqref="O33"/>
    </sheetView>
  </sheetViews>
  <sheetFormatPr defaultColWidth="9.140625" defaultRowHeight="12" x14ac:dyDescent="0.2"/>
  <cols>
    <col min="1" max="1" width="23.5703125" style="455" customWidth="1"/>
    <col min="2" max="2" width="9.5703125" style="201" bestFit="1" customWidth="1"/>
    <col min="3" max="3" width="8.7109375" style="201" bestFit="1" customWidth="1"/>
    <col min="4" max="4" width="8.5703125" style="201" customWidth="1"/>
    <col min="5" max="5" width="8.7109375" style="201" bestFit="1" customWidth="1"/>
    <col min="6" max="6" width="9.5703125" style="201" bestFit="1" customWidth="1"/>
    <col min="7" max="13" width="8.7109375" style="201" bestFit="1" customWidth="1"/>
    <col min="14" max="14" width="11" style="201" customWidth="1"/>
    <col min="15" max="15" width="13.5703125" style="201" customWidth="1"/>
    <col min="16" max="16" width="10.85546875" style="201" customWidth="1"/>
    <col min="17" max="16384" width="9.140625" style="201"/>
  </cols>
  <sheetData>
    <row r="1" spans="1:49" ht="15" customHeight="1" x14ac:dyDescent="0.2">
      <c r="A1" s="787"/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324"/>
      <c r="P1" s="324"/>
      <c r="Q1" s="324"/>
      <c r="R1" s="324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</row>
    <row r="2" spans="1:49" ht="5.25" customHeight="1" x14ac:dyDescent="0.2">
      <c r="A2" s="202"/>
      <c r="B2" s="203"/>
      <c r="C2" s="203"/>
      <c r="D2" s="203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</row>
    <row r="3" spans="1:49" ht="19.5" customHeight="1" x14ac:dyDescent="0.2">
      <c r="A3" s="795" t="s">
        <v>519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324"/>
      <c r="P3" s="324"/>
      <c r="Q3" s="324"/>
      <c r="R3" s="324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</row>
    <row r="4" spans="1:49" x14ac:dyDescent="0.2">
      <c r="A4" s="206"/>
      <c r="B4" s="207"/>
      <c r="C4" s="207"/>
      <c r="D4" s="207"/>
      <c r="E4" s="328"/>
      <c r="F4" s="328"/>
      <c r="G4" s="328"/>
      <c r="H4" s="328"/>
      <c r="I4" s="328"/>
      <c r="J4" s="329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</row>
    <row r="5" spans="1:49" ht="16.5" x14ac:dyDescent="0.25">
      <c r="A5" s="797" t="s">
        <v>326</v>
      </c>
      <c r="B5" s="798"/>
      <c r="C5" s="798"/>
      <c r="D5" s="798"/>
      <c r="E5" s="798"/>
      <c r="F5" s="798"/>
      <c r="G5" s="798"/>
      <c r="H5" s="798"/>
      <c r="I5" s="798"/>
      <c r="J5" s="798"/>
      <c r="K5" s="798"/>
      <c r="L5" s="798"/>
      <c r="M5" s="798"/>
      <c r="N5" s="798"/>
      <c r="O5" s="331"/>
      <c r="P5" s="331"/>
      <c r="Q5" s="331"/>
      <c r="R5" s="331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</row>
    <row r="6" spans="1:49" ht="12.75" customHeight="1" thickBot="1" x14ac:dyDescent="0.25">
      <c r="A6" s="799" t="s">
        <v>426</v>
      </c>
      <c r="B6" s="799"/>
      <c r="C6" s="799"/>
      <c r="D6" s="799"/>
      <c r="E6" s="799"/>
      <c r="F6" s="799"/>
      <c r="G6" s="799"/>
      <c r="H6" s="799"/>
      <c r="I6" s="799"/>
      <c r="J6" s="799"/>
      <c r="K6" s="799"/>
      <c r="L6" s="799"/>
      <c r="M6" s="799"/>
      <c r="N6" s="799"/>
      <c r="O6" s="324"/>
      <c r="P6" s="324"/>
      <c r="Q6" s="324"/>
      <c r="R6" s="324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</row>
    <row r="7" spans="1:49" x14ac:dyDescent="0.2">
      <c r="A7" s="430" t="s">
        <v>302</v>
      </c>
      <c r="B7" s="431" t="s">
        <v>327</v>
      </c>
      <c r="C7" s="431" t="s">
        <v>328</v>
      </c>
      <c r="D7" s="431" t="s">
        <v>329</v>
      </c>
      <c r="E7" s="431" t="s">
        <v>330</v>
      </c>
      <c r="F7" s="431" t="s">
        <v>331</v>
      </c>
      <c r="G7" s="431" t="s">
        <v>332</v>
      </c>
      <c r="H7" s="431" t="s">
        <v>333</v>
      </c>
      <c r="I7" s="431" t="s">
        <v>334</v>
      </c>
      <c r="J7" s="431" t="s">
        <v>335</v>
      </c>
      <c r="K7" s="431" t="s">
        <v>336</v>
      </c>
      <c r="L7" s="431" t="s">
        <v>337</v>
      </c>
      <c r="M7" s="431" t="s">
        <v>338</v>
      </c>
      <c r="N7" s="432" t="s">
        <v>88</v>
      </c>
    </row>
    <row r="8" spans="1:49" x14ac:dyDescent="0.2">
      <c r="A8" s="433" t="s">
        <v>339</v>
      </c>
      <c r="B8" s="434"/>
      <c r="C8" s="434"/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5"/>
    </row>
    <row r="9" spans="1:49" x14ac:dyDescent="0.2">
      <c r="A9" s="436" t="s">
        <v>62</v>
      </c>
      <c r="B9" s="571">
        <f>'1.melléklet.Önkormányzat'!D24/12</f>
        <v>8981776.416666666</v>
      </c>
      <c r="C9" s="571">
        <f t="shared" ref="C9:C15" si="0">+B9</f>
        <v>8981776.416666666</v>
      </c>
      <c r="D9" s="571">
        <f t="shared" ref="D9:M9" si="1">+C9</f>
        <v>8981776.416666666</v>
      </c>
      <c r="E9" s="571">
        <f t="shared" si="1"/>
        <v>8981776.416666666</v>
      </c>
      <c r="F9" s="571">
        <f t="shared" si="1"/>
        <v>8981776.416666666</v>
      </c>
      <c r="G9" s="571">
        <f t="shared" si="1"/>
        <v>8981776.416666666</v>
      </c>
      <c r="H9" s="571">
        <f t="shared" si="1"/>
        <v>8981776.416666666</v>
      </c>
      <c r="I9" s="571">
        <f t="shared" si="1"/>
        <v>8981776.416666666</v>
      </c>
      <c r="J9" s="571">
        <f t="shared" si="1"/>
        <v>8981776.416666666</v>
      </c>
      <c r="K9" s="571">
        <f t="shared" si="1"/>
        <v>8981776.416666666</v>
      </c>
      <c r="L9" s="571">
        <f t="shared" si="1"/>
        <v>8981776.416666666</v>
      </c>
      <c r="M9" s="571">
        <f t="shared" si="1"/>
        <v>8981776.416666666</v>
      </c>
      <c r="N9" s="572">
        <f t="shared" ref="N9:N20" si="2">SUM(B9:M9)</f>
        <v>107781317.00000001</v>
      </c>
      <c r="O9" s="437"/>
      <c r="P9" s="365"/>
    </row>
    <row r="10" spans="1:49" x14ac:dyDescent="0.2">
      <c r="A10" s="436" t="s">
        <v>304</v>
      </c>
      <c r="B10" s="571">
        <f ca="1">'1.melléklet.Önkormányzat'!D30/12</f>
        <v>12356709.333333334</v>
      </c>
      <c r="C10" s="571">
        <f t="shared" ca="1" si="0"/>
        <v>12356709.333333334</v>
      </c>
      <c r="D10" s="571">
        <f t="shared" ref="D10:M10" ca="1" si="3">+C10</f>
        <v>12356709.333333334</v>
      </c>
      <c r="E10" s="571">
        <f t="shared" ca="1" si="3"/>
        <v>12356709.333333334</v>
      </c>
      <c r="F10" s="571">
        <f t="shared" ca="1" si="3"/>
        <v>12356709.333333334</v>
      </c>
      <c r="G10" s="571">
        <f t="shared" ca="1" si="3"/>
        <v>12356709.333333334</v>
      </c>
      <c r="H10" s="571">
        <f t="shared" ca="1" si="3"/>
        <v>12356709.333333334</v>
      </c>
      <c r="I10" s="571">
        <f t="shared" ca="1" si="3"/>
        <v>12356709.333333334</v>
      </c>
      <c r="J10" s="571">
        <f t="shared" ca="1" si="3"/>
        <v>12356709.333333334</v>
      </c>
      <c r="K10" s="571">
        <f t="shared" ca="1" si="3"/>
        <v>12356709.333333334</v>
      </c>
      <c r="L10" s="571">
        <f t="shared" ca="1" si="3"/>
        <v>12356709.333333334</v>
      </c>
      <c r="M10" s="571">
        <f t="shared" ca="1" si="3"/>
        <v>12356709.333333334</v>
      </c>
      <c r="N10" s="572">
        <f t="shared" ca="1" si="2"/>
        <v>148280512</v>
      </c>
      <c r="O10" s="437"/>
      <c r="P10" s="365"/>
    </row>
    <row r="11" spans="1:49" ht="25.5" customHeight="1" x14ac:dyDescent="0.2">
      <c r="A11" s="436" t="s">
        <v>555</v>
      </c>
      <c r="B11" s="571">
        <f>'1.melléklet.Önkormányzat'!D8/12</f>
        <v>54049821.25</v>
      </c>
      <c r="C11" s="571">
        <f t="shared" si="0"/>
        <v>54049821.25</v>
      </c>
      <c r="D11" s="571">
        <f t="shared" ref="D11:M11" si="4">+C11</f>
        <v>54049821.25</v>
      </c>
      <c r="E11" s="571">
        <f t="shared" si="4"/>
        <v>54049821.25</v>
      </c>
      <c r="F11" s="571">
        <f t="shared" si="4"/>
        <v>54049821.25</v>
      </c>
      <c r="G11" s="571">
        <f t="shared" si="4"/>
        <v>54049821.25</v>
      </c>
      <c r="H11" s="571">
        <f t="shared" si="4"/>
        <v>54049821.25</v>
      </c>
      <c r="I11" s="571">
        <f t="shared" si="4"/>
        <v>54049821.25</v>
      </c>
      <c r="J11" s="571">
        <f t="shared" si="4"/>
        <v>54049821.25</v>
      </c>
      <c r="K11" s="571">
        <f t="shared" si="4"/>
        <v>54049821.25</v>
      </c>
      <c r="L11" s="571">
        <f t="shared" si="4"/>
        <v>54049821.25</v>
      </c>
      <c r="M11" s="571">
        <f t="shared" si="4"/>
        <v>54049821.25</v>
      </c>
      <c r="N11" s="572">
        <f t="shared" si="2"/>
        <v>648597855</v>
      </c>
      <c r="O11" s="437"/>
      <c r="P11" s="365"/>
    </row>
    <row r="12" spans="1:49" ht="24" x14ac:dyDescent="0.2">
      <c r="A12" s="436" t="s">
        <v>76</v>
      </c>
      <c r="B12" s="571">
        <f>'1.melléklet.Önkormányzat'!D16/12</f>
        <v>6635343.583333333</v>
      </c>
      <c r="C12" s="571">
        <f t="shared" si="0"/>
        <v>6635343.583333333</v>
      </c>
      <c r="D12" s="571">
        <f t="shared" ref="D12:M12" si="5">+C12</f>
        <v>6635343.583333333</v>
      </c>
      <c r="E12" s="571">
        <f t="shared" si="5"/>
        <v>6635343.583333333</v>
      </c>
      <c r="F12" s="571">
        <f t="shared" si="5"/>
        <v>6635343.583333333</v>
      </c>
      <c r="G12" s="571">
        <f t="shared" si="5"/>
        <v>6635343.583333333</v>
      </c>
      <c r="H12" s="571">
        <f t="shared" si="5"/>
        <v>6635343.583333333</v>
      </c>
      <c r="I12" s="571">
        <f t="shared" si="5"/>
        <v>6635343.583333333</v>
      </c>
      <c r="J12" s="571">
        <f t="shared" si="5"/>
        <v>6635343.583333333</v>
      </c>
      <c r="K12" s="571">
        <f t="shared" si="5"/>
        <v>6635343.583333333</v>
      </c>
      <c r="L12" s="571">
        <f t="shared" si="5"/>
        <v>6635343.583333333</v>
      </c>
      <c r="M12" s="571">
        <f t="shared" si="5"/>
        <v>6635343.583333333</v>
      </c>
      <c r="N12" s="572">
        <f t="shared" si="2"/>
        <v>79624123</v>
      </c>
      <c r="O12" s="437"/>
      <c r="P12" s="365"/>
    </row>
    <row r="13" spans="1:49" x14ac:dyDescent="0.2">
      <c r="A13" s="436" t="s">
        <v>19</v>
      </c>
      <c r="B13" s="571"/>
      <c r="C13" s="571"/>
      <c r="D13" s="571"/>
      <c r="E13" s="571"/>
      <c r="F13" s="571"/>
      <c r="G13" s="571"/>
      <c r="H13" s="571"/>
      <c r="I13" s="571"/>
      <c r="J13" s="571"/>
      <c r="K13" s="571"/>
      <c r="L13" s="571"/>
      <c r="M13" s="571"/>
      <c r="N13" s="572">
        <f t="shared" si="2"/>
        <v>0</v>
      </c>
      <c r="O13" s="437"/>
      <c r="P13" s="365"/>
    </row>
    <row r="14" spans="1:49" ht="36" x14ac:dyDescent="0.2">
      <c r="A14" s="436" t="s">
        <v>312</v>
      </c>
      <c r="B14" s="571">
        <f>'1.melléklet.Önkormányzat'!D22/12</f>
        <v>61365255.083333336</v>
      </c>
      <c r="C14" s="571">
        <f t="shared" si="0"/>
        <v>61365255.083333336</v>
      </c>
      <c r="D14" s="571">
        <f t="shared" ref="D14:M14" si="6">+C14</f>
        <v>61365255.083333336</v>
      </c>
      <c r="E14" s="571">
        <f t="shared" si="6"/>
        <v>61365255.083333336</v>
      </c>
      <c r="F14" s="571">
        <f t="shared" si="6"/>
        <v>61365255.083333336</v>
      </c>
      <c r="G14" s="571">
        <f t="shared" si="6"/>
        <v>61365255.083333336</v>
      </c>
      <c r="H14" s="571">
        <f t="shared" si="6"/>
        <v>61365255.083333336</v>
      </c>
      <c r="I14" s="571">
        <f t="shared" si="6"/>
        <v>61365255.083333336</v>
      </c>
      <c r="J14" s="571">
        <f t="shared" si="6"/>
        <v>61365255.083333336</v>
      </c>
      <c r="K14" s="571">
        <f t="shared" si="6"/>
        <v>61365255.083333336</v>
      </c>
      <c r="L14" s="571">
        <f t="shared" si="6"/>
        <v>61365255.083333336</v>
      </c>
      <c r="M14" s="571">
        <f t="shared" si="6"/>
        <v>61365255.083333336</v>
      </c>
      <c r="N14" s="572">
        <f t="shared" si="2"/>
        <v>736383061.00000012</v>
      </c>
      <c r="O14" s="437"/>
      <c r="P14" s="365"/>
    </row>
    <row r="15" spans="1:49" ht="24" x14ac:dyDescent="0.2">
      <c r="A15" s="436" t="s">
        <v>77</v>
      </c>
      <c r="B15" s="571"/>
      <c r="C15" s="571">
        <f t="shared" si="0"/>
        <v>0</v>
      </c>
      <c r="D15" s="571">
        <f t="shared" ref="D15:E15" si="7">+C15</f>
        <v>0</v>
      </c>
      <c r="E15" s="571">
        <f t="shared" si="7"/>
        <v>0</v>
      </c>
      <c r="F15" s="571">
        <f>20000000+'1.melléklet.Önkormányzat'!D31</f>
        <v>30072300</v>
      </c>
      <c r="G15" s="571"/>
      <c r="H15" s="571"/>
      <c r="I15" s="571"/>
      <c r="J15" s="571"/>
      <c r="K15" s="571"/>
      <c r="L15" s="571"/>
      <c r="M15" s="571"/>
      <c r="N15" s="572">
        <f t="shared" si="2"/>
        <v>30072300</v>
      </c>
      <c r="O15" s="437"/>
      <c r="P15" s="365"/>
    </row>
    <row r="16" spans="1:49" ht="24" x14ac:dyDescent="0.2">
      <c r="A16" s="436" t="s">
        <v>133</v>
      </c>
      <c r="B16" s="571"/>
      <c r="C16" s="571"/>
      <c r="D16" s="571"/>
      <c r="E16" s="571"/>
      <c r="F16" s="571">
        <f ca="1">'1.melléklet.Önkormányzat'!D36</f>
        <v>396888687</v>
      </c>
      <c r="G16" s="571"/>
      <c r="H16" s="571"/>
      <c r="I16" s="571"/>
      <c r="J16" s="571"/>
      <c r="K16" s="571"/>
      <c r="L16" s="571"/>
      <c r="M16" s="571"/>
      <c r="N16" s="572">
        <f t="shared" ca="1" si="2"/>
        <v>396888687</v>
      </c>
      <c r="O16" s="437"/>
      <c r="P16" s="365"/>
    </row>
    <row r="17" spans="1:16" ht="24" x14ac:dyDescent="0.2">
      <c r="A17" s="436" t="s">
        <v>553</v>
      </c>
      <c r="B17" s="571">
        <v>0</v>
      </c>
      <c r="C17" s="571">
        <v>0</v>
      </c>
      <c r="D17" s="571">
        <v>0</v>
      </c>
      <c r="E17" s="571">
        <v>0</v>
      </c>
      <c r="F17" s="571">
        <v>2000000</v>
      </c>
      <c r="G17" s="571">
        <v>0</v>
      </c>
      <c r="H17" s="571">
        <v>0</v>
      </c>
      <c r="I17" s="571">
        <v>0</v>
      </c>
      <c r="J17" s="571">
        <v>0</v>
      </c>
      <c r="K17" s="571">
        <v>0</v>
      </c>
      <c r="L17" s="571">
        <v>0</v>
      </c>
      <c r="M17" s="571">
        <v>0</v>
      </c>
      <c r="N17" s="572">
        <f t="shared" si="2"/>
        <v>2000000</v>
      </c>
      <c r="O17" s="437"/>
      <c r="P17" s="365"/>
    </row>
    <row r="18" spans="1:16" x14ac:dyDescent="0.2">
      <c r="A18" s="436" t="s">
        <v>554</v>
      </c>
      <c r="B18" s="571">
        <v>1750000</v>
      </c>
      <c r="C18" s="571">
        <v>0</v>
      </c>
      <c r="D18" s="571">
        <v>0</v>
      </c>
      <c r="E18" s="571">
        <v>0</v>
      </c>
      <c r="F18" s="571">
        <v>0</v>
      </c>
      <c r="G18" s="571">
        <v>0</v>
      </c>
      <c r="H18" s="571">
        <v>0</v>
      </c>
      <c r="I18" s="571">
        <v>0</v>
      </c>
      <c r="J18" s="571">
        <v>0</v>
      </c>
      <c r="K18" s="571">
        <v>0</v>
      </c>
      <c r="L18" s="571">
        <v>200000</v>
      </c>
      <c r="M18" s="571">
        <v>0</v>
      </c>
      <c r="N18" s="572">
        <f t="shared" si="2"/>
        <v>1950000</v>
      </c>
      <c r="O18" s="437"/>
      <c r="P18" s="365"/>
    </row>
    <row r="19" spans="1:16" x14ac:dyDescent="0.2">
      <c r="A19" s="436" t="s">
        <v>583</v>
      </c>
      <c r="B19" s="571">
        <v>0</v>
      </c>
      <c r="C19" s="571">
        <v>0</v>
      </c>
      <c r="D19" s="571">
        <v>0</v>
      </c>
      <c r="E19" s="571">
        <v>0</v>
      </c>
      <c r="F19" s="571">
        <v>2586637</v>
      </c>
      <c r="G19" s="571">
        <v>0</v>
      </c>
      <c r="H19" s="571">
        <v>0</v>
      </c>
      <c r="I19" s="571">
        <v>0</v>
      </c>
      <c r="J19" s="571">
        <v>0</v>
      </c>
      <c r="K19" s="571">
        <v>0</v>
      </c>
      <c r="L19" s="571">
        <v>0</v>
      </c>
      <c r="M19" s="571">
        <v>0</v>
      </c>
      <c r="N19" s="572">
        <f t="shared" si="2"/>
        <v>2586637</v>
      </c>
      <c r="O19" s="437"/>
      <c r="P19" s="365"/>
    </row>
    <row r="20" spans="1:16" x14ac:dyDescent="0.2">
      <c r="A20" s="438" t="s">
        <v>340</v>
      </c>
      <c r="B20" s="573">
        <f ca="1">SUM(B9:B19)</f>
        <v>145138905.66666666</v>
      </c>
      <c r="C20" s="573">
        <f ca="1">SUM(C9:C19)</f>
        <v>143388905.66666666</v>
      </c>
      <c r="D20" s="573">
        <f t="shared" ref="D20:M20" ca="1" si="8">SUM(D9:D19)</f>
        <v>143388905.66666666</v>
      </c>
      <c r="E20" s="573">
        <f t="shared" ca="1" si="8"/>
        <v>143388905.66666666</v>
      </c>
      <c r="F20" s="573">
        <f t="shared" ca="1" si="8"/>
        <v>574936529.66666663</v>
      </c>
      <c r="G20" s="573">
        <f t="shared" ca="1" si="8"/>
        <v>143388905.66666666</v>
      </c>
      <c r="H20" s="573">
        <f t="shared" ca="1" si="8"/>
        <v>143388905.66666666</v>
      </c>
      <c r="I20" s="573">
        <f t="shared" ca="1" si="8"/>
        <v>143388905.66666666</v>
      </c>
      <c r="J20" s="573">
        <f t="shared" ca="1" si="8"/>
        <v>143388905.66666666</v>
      </c>
      <c r="K20" s="573">
        <f t="shared" ca="1" si="8"/>
        <v>143388905.66666666</v>
      </c>
      <c r="L20" s="573">
        <f t="shared" ca="1" si="8"/>
        <v>143588905.66666666</v>
      </c>
      <c r="M20" s="573">
        <f t="shared" ca="1" si="8"/>
        <v>143388905.66666666</v>
      </c>
      <c r="N20" s="572">
        <f t="shared" ca="1" si="2"/>
        <v>2154164492.0000005</v>
      </c>
      <c r="O20" s="437"/>
      <c r="P20" s="365"/>
    </row>
    <row r="21" spans="1:16" x14ac:dyDescent="0.2">
      <c r="A21" s="433" t="s">
        <v>341</v>
      </c>
      <c r="B21" s="573"/>
      <c r="C21" s="573"/>
      <c r="D21" s="573"/>
      <c r="E21" s="573"/>
      <c r="F21" s="573"/>
      <c r="G21" s="573"/>
      <c r="H21" s="573"/>
      <c r="I21" s="573"/>
      <c r="J21" s="573"/>
      <c r="K21" s="573"/>
      <c r="L21" s="573"/>
      <c r="M21" s="573"/>
      <c r="N21" s="572"/>
      <c r="O21" s="439"/>
      <c r="P21" s="365"/>
    </row>
    <row r="22" spans="1:16" x14ac:dyDescent="0.2">
      <c r="A22" s="436" t="s">
        <v>40</v>
      </c>
      <c r="B22" s="571">
        <f>'1.melléklet.Önkormányzat'!D50/12</f>
        <v>42123500.5</v>
      </c>
      <c r="C22" s="571">
        <f t="shared" ref="C22:C28" si="9">+B22</f>
        <v>42123500.5</v>
      </c>
      <c r="D22" s="571">
        <f t="shared" ref="D22:M22" si="10">+C22</f>
        <v>42123500.5</v>
      </c>
      <c r="E22" s="571">
        <f t="shared" si="10"/>
        <v>42123500.5</v>
      </c>
      <c r="F22" s="571">
        <f t="shared" si="10"/>
        <v>42123500.5</v>
      </c>
      <c r="G22" s="571">
        <f t="shared" si="10"/>
        <v>42123500.5</v>
      </c>
      <c r="H22" s="571">
        <f t="shared" si="10"/>
        <v>42123500.5</v>
      </c>
      <c r="I22" s="571">
        <f t="shared" si="10"/>
        <v>42123500.5</v>
      </c>
      <c r="J22" s="571">
        <f t="shared" si="10"/>
        <v>42123500.5</v>
      </c>
      <c r="K22" s="571">
        <f t="shared" si="10"/>
        <v>42123500.5</v>
      </c>
      <c r="L22" s="571">
        <f t="shared" si="10"/>
        <v>42123500.5</v>
      </c>
      <c r="M22" s="571">
        <f t="shared" si="10"/>
        <v>42123500.5</v>
      </c>
      <c r="N22" s="572">
        <f t="shared" ref="N22:N29" si="11">SUM(B22:M22)</f>
        <v>505482006</v>
      </c>
      <c r="P22" s="365"/>
    </row>
    <row r="23" spans="1:16" ht="24" x14ac:dyDescent="0.2">
      <c r="A23" s="436" t="s">
        <v>307</v>
      </c>
      <c r="B23" s="571">
        <f>'1.melléklet.Önkormányzat'!D51/12</f>
        <v>5243821.166666667</v>
      </c>
      <c r="C23" s="571">
        <f t="shared" si="9"/>
        <v>5243821.166666667</v>
      </c>
      <c r="D23" s="571">
        <f t="shared" ref="D23:M23" si="12">+C23</f>
        <v>5243821.166666667</v>
      </c>
      <c r="E23" s="571">
        <f t="shared" si="12"/>
        <v>5243821.166666667</v>
      </c>
      <c r="F23" s="571">
        <f t="shared" si="12"/>
        <v>5243821.166666667</v>
      </c>
      <c r="G23" s="571">
        <f t="shared" si="12"/>
        <v>5243821.166666667</v>
      </c>
      <c r="H23" s="571">
        <f t="shared" si="12"/>
        <v>5243821.166666667</v>
      </c>
      <c r="I23" s="571">
        <f t="shared" si="12"/>
        <v>5243821.166666667</v>
      </c>
      <c r="J23" s="571">
        <f t="shared" si="12"/>
        <v>5243821.166666667</v>
      </c>
      <c r="K23" s="571">
        <f t="shared" si="12"/>
        <v>5243821.166666667</v>
      </c>
      <c r="L23" s="571">
        <f t="shared" si="12"/>
        <v>5243821.166666667</v>
      </c>
      <c r="M23" s="571">
        <f t="shared" si="12"/>
        <v>5243821.166666667</v>
      </c>
      <c r="N23" s="572">
        <f t="shared" si="11"/>
        <v>62925853.999999993</v>
      </c>
      <c r="O23" s="440"/>
      <c r="P23" s="365"/>
    </row>
    <row r="24" spans="1:16" x14ac:dyDescent="0.2">
      <c r="A24" s="436" t="s">
        <v>41</v>
      </c>
      <c r="B24" s="571">
        <f>'1.melléklet.Önkormányzat'!D52/12</f>
        <v>29756522.416666668</v>
      </c>
      <c r="C24" s="571">
        <f t="shared" si="9"/>
        <v>29756522.416666668</v>
      </c>
      <c r="D24" s="571">
        <f t="shared" ref="D24:M24" si="13">+C24</f>
        <v>29756522.416666668</v>
      </c>
      <c r="E24" s="571">
        <f t="shared" si="13"/>
        <v>29756522.416666668</v>
      </c>
      <c r="F24" s="571">
        <f t="shared" si="13"/>
        <v>29756522.416666668</v>
      </c>
      <c r="G24" s="571">
        <f t="shared" si="13"/>
        <v>29756522.416666668</v>
      </c>
      <c r="H24" s="571">
        <f t="shared" si="13"/>
        <v>29756522.416666668</v>
      </c>
      <c r="I24" s="571">
        <f t="shared" si="13"/>
        <v>29756522.416666668</v>
      </c>
      <c r="J24" s="571">
        <f t="shared" si="13"/>
        <v>29756522.416666668</v>
      </c>
      <c r="K24" s="571">
        <f t="shared" si="13"/>
        <v>29756522.416666668</v>
      </c>
      <c r="L24" s="571">
        <f t="shared" si="13"/>
        <v>29756522.416666668</v>
      </c>
      <c r="M24" s="571">
        <f t="shared" si="13"/>
        <v>29756522.416666668</v>
      </c>
      <c r="N24" s="572">
        <f t="shared" si="11"/>
        <v>357078269</v>
      </c>
      <c r="O24" s="440"/>
      <c r="P24" s="365"/>
    </row>
    <row r="25" spans="1:16" x14ac:dyDescent="0.2">
      <c r="A25" s="436" t="s">
        <v>42</v>
      </c>
      <c r="B25" s="571">
        <f>'1.melléklet.Önkormányzat'!D53/12</f>
        <v>2777114.75</v>
      </c>
      <c r="C25" s="571">
        <f t="shared" si="9"/>
        <v>2777114.75</v>
      </c>
      <c r="D25" s="571">
        <f t="shared" ref="D25:M25" si="14">+C25</f>
        <v>2777114.75</v>
      </c>
      <c r="E25" s="571">
        <f t="shared" si="14"/>
        <v>2777114.75</v>
      </c>
      <c r="F25" s="571">
        <f t="shared" si="14"/>
        <v>2777114.75</v>
      </c>
      <c r="G25" s="571">
        <f t="shared" si="14"/>
        <v>2777114.75</v>
      </c>
      <c r="H25" s="571">
        <f t="shared" si="14"/>
        <v>2777114.75</v>
      </c>
      <c r="I25" s="571">
        <f t="shared" si="14"/>
        <v>2777114.75</v>
      </c>
      <c r="J25" s="571">
        <f t="shared" si="14"/>
        <v>2777114.75</v>
      </c>
      <c r="K25" s="571">
        <f t="shared" si="14"/>
        <v>2777114.75</v>
      </c>
      <c r="L25" s="571">
        <f t="shared" si="14"/>
        <v>2777114.75</v>
      </c>
      <c r="M25" s="571">
        <f t="shared" si="14"/>
        <v>2777114.75</v>
      </c>
      <c r="N25" s="572">
        <f t="shared" si="11"/>
        <v>33325377</v>
      </c>
      <c r="O25" s="440"/>
      <c r="P25" s="365"/>
    </row>
    <row r="26" spans="1:16" x14ac:dyDescent="0.2">
      <c r="A26" s="436" t="s">
        <v>43</v>
      </c>
      <c r="B26" s="571">
        <f>'1.melléklet.Önkormányzat'!D54/12</f>
        <v>4235312.333333333</v>
      </c>
      <c r="C26" s="571">
        <f t="shared" si="9"/>
        <v>4235312.333333333</v>
      </c>
      <c r="D26" s="571">
        <f t="shared" ref="D26:M26" si="15">+C26</f>
        <v>4235312.333333333</v>
      </c>
      <c r="E26" s="571">
        <f t="shared" si="15"/>
        <v>4235312.333333333</v>
      </c>
      <c r="F26" s="571">
        <f t="shared" si="15"/>
        <v>4235312.333333333</v>
      </c>
      <c r="G26" s="571">
        <f t="shared" si="15"/>
        <v>4235312.333333333</v>
      </c>
      <c r="H26" s="571">
        <f t="shared" si="15"/>
        <v>4235312.333333333</v>
      </c>
      <c r="I26" s="571">
        <f t="shared" si="15"/>
        <v>4235312.333333333</v>
      </c>
      <c r="J26" s="571">
        <f t="shared" si="15"/>
        <v>4235312.333333333</v>
      </c>
      <c r="K26" s="571">
        <f t="shared" si="15"/>
        <v>4235312.333333333</v>
      </c>
      <c r="L26" s="571">
        <f t="shared" si="15"/>
        <v>4235312.333333333</v>
      </c>
      <c r="M26" s="571">
        <f t="shared" si="15"/>
        <v>4235312.333333333</v>
      </c>
      <c r="N26" s="572">
        <f t="shared" si="11"/>
        <v>50823748.000000007</v>
      </c>
      <c r="O26" s="440"/>
      <c r="P26" s="365"/>
    </row>
    <row r="27" spans="1:16" x14ac:dyDescent="0.2">
      <c r="A27" s="436" t="s">
        <v>46</v>
      </c>
      <c r="B27" s="571">
        <f>'1.melléklet.Önkormányzat'!D59/7</f>
        <v>119418231.85714285</v>
      </c>
      <c r="C27" s="571">
        <f t="shared" si="9"/>
        <v>119418231.85714285</v>
      </c>
      <c r="D27" s="571">
        <f t="shared" ref="D27:M27" si="16">+C27</f>
        <v>119418231.85714285</v>
      </c>
      <c r="E27" s="571">
        <f t="shared" si="16"/>
        <v>119418231.85714285</v>
      </c>
      <c r="F27" s="571">
        <f t="shared" si="16"/>
        <v>119418231.85714285</v>
      </c>
      <c r="G27" s="571">
        <f t="shared" si="16"/>
        <v>119418231.85714285</v>
      </c>
      <c r="H27" s="571">
        <f t="shared" si="16"/>
        <v>119418231.85714285</v>
      </c>
      <c r="I27" s="571"/>
      <c r="J27" s="571">
        <f t="shared" si="16"/>
        <v>0</v>
      </c>
      <c r="K27" s="571">
        <f t="shared" si="16"/>
        <v>0</v>
      </c>
      <c r="L27" s="571">
        <f t="shared" si="16"/>
        <v>0</v>
      </c>
      <c r="M27" s="571">
        <f t="shared" si="16"/>
        <v>0</v>
      </c>
      <c r="N27" s="572">
        <f t="shared" si="11"/>
        <v>835927622.99999988</v>
      </c>
      <c r="O27" s="440"/>
      <c r="P27" s="365"/>
    </row>
    <row r="28" spans="1:16" x14ac:dyDescent="0.2">
      <c r="A28" s="436" t="s">
        <v>47</v>
      </c>
      <c r="B28" s="571"/>
      <c r="C28" s="571">
        <f t="shared" si="9"/>
        <v>0</v>
      </c>
      <c r="D28" s="571">
        <f>'1.melléklet.Önkormányzat'!D61/2</f>
        <v>104197992.5</v>
      </c>
      <c r="E28" s="571"/>
      <c r="F28" s="571">
        <f t="shared" ref="F28:H28" si="17">+E28</f>
        <v>0</v>
      </c>
      <c r="G28" s="571">
        <f t="shared" si="17"/>
        <v>0</v>
      </c>
      <c r="H28" s="571">
        <f t="shared" si="17"/>
        <v>0</v>
      </c>
      <c r="I28" s="571">
        <v>54755790</v>
      </c>
      <c r="J28" s="571"/>
      <c r="K28" s="571">
        <v>974958</v>
      </c>
      <c r="L28" s="571"/>
      <c r="M28" s="571"/>
      <c r="N28" s="572">
        <f t="shared" si="11"/>
        <v>159928740.5</v>
      </c>
      <c r="O28" s="440"/>
      <c r="P28" s="365"/>
    </row>
    <row r="29" spans="1:16" ht="24" x14ac:dyDescent="0.2">
      <c r="A29" s="436" t="s">
        <v>293</v>
      </c>
      <c r="B29" s="571">
        <f>'1.melléklet.Önkormányzat'!D63/12</f>
        <v>0</v>
      </c>
      <c r="C29" s="571">
        <v>1000000</v>
      </c>
      <c r="D29" s="571">
        <f t="shared" ref="D29:K29" si="18">+C29</f>
        <v>1000000</v>
      </c>
      <c r="E29" s="571"/>
      <c r="F29" s="571">
        <f t="shared" si="18"/>
        <v>0</v>
      </c>
      <c r="G29" s="571">
        <f t="shared" si="18"/>
        <v>0</v>
      </c>
      <c r="H29" s="571">
        <f t="shared" si="18"/>
        <v>0</v>
      </c>
      <c r="I29" s="571"/>
      <c r="J29" s="571">
        <v>1000000</v>
      </c>
      <c r="K29" s="571">
        <f t="shared" si="18"/>
        <v>1000000</v>
      </c>
      <c r="L29" s="571">
        <v>1000000</v>
      </c>
      <c r="M29" s="571"/>
      <c r="N29" s="572">
        <f t="shared" si="11"/>
        <v>5000000</v>
      </c>
      <c r="O29" s="440"/>
      <c r="P29" s="365"/>
    </row>
    <row r="30" spans="1:16" ht="24" x14ac:dyDescent="0.2">
      <c r="A30" s="436" t="s">
        <v>50</v>
      </c>
      <c r="B30" s="571">
        <f>'1.melléklet.Önkormányzat'!C67</f>
        <v>21732794</v>
      </c>
      <c r="C30" s="571">
        <v>0</v>
      </c>
      <c r="D30" s="571">
        <v>0</v>
      </c>
      <c r="E30" s="571">
        <v>0</v>
      </c>
      <c r="F30" s="571">
        <v>2586637</v>
      </c>
      <c r="G30" s="571">
        <v>0</v>
      </c>
      <c r="H30" s="571">
        <v>0</v>
      </c>
      <c r="I30" s="571">
        <v>0</v>
      </c>
      <c r="J30" s="571">
        <v>0</v>
      </c>
      <c r="K30" s="571">
        <v>0</v>
      </c>
      <c r="L30" s="571">
        <v>0</v>
      </c>
      <c r="M30" s="571">
        <v>0</v>
      </c>
      <c r="N30" s="572">
        <f t="shared" ref="N30:N33" si="19">SUM(B30:M30)</f>
        <v>24319431</v>
      </c>
      <c r="O30" s="440"/>
      <c r="P30" s="365"/>
    </row>
    <row r="31" spans="1:16" x14ac:dyDescent="0.2">
      <c r="A31" s="441" t="s">
        <v>44</v>
      </c>
      <c r="B31" s="571">
        <f>'1.melléklet.Önkormányzat'!D55/12</f>
        <v>8025014.583333333</v>
      </c>
      <c r="C31" s="571">
        <f>+B31</f>
        <v>8025014.583333333</v>
      </c>
      <c r="D31" s="571">
        <f t="shared" ref="D31:M31" si="20">+C31</f>
        <v>8025014.583333333</v>
      </c>
      <c r="E31" s="571">
        <f t="shared" si="20"/>
        <v>8025014.583333333</v>
      </c>
      <c r="F31" s="571">
        <f t="shared" si="20"/>
        <v>8025014.583333333</v>
      </c>
      <c r="G31" s="571">
        <f t="shared" si="20"/>
        <v>8025014.583333333</v>
      </c>
      <c r="H31" s="571">
        <f t="shared" si="20"/>
        <v>8025014.583333333</v>
      </c>
      <c r="I31" s="571">
        <f t="shared" si="20"/>
        <v>8025014.583333333</v>
      </c>
      <c r="J31" s="571">
        <f t="shared" si="20"/>
        <v>8025014.583333333</v>
      </c>
      <c r="K31" s="571">
        <f t="shared" si="20"/>
        <v>8025014.583333333</v>
      </c>
      <c r="L31" s="571">
        <f t="shared" si="20"/>
        <v>8025014.583333333</v>
      </c>
      <c r="M31" s="571">
        <f t="shared" si="20"/>
        <v>8025014.583333333</v>
      </c>
      <c r="N31" s="572">
        <f t="shared" si="19"/>
        <v>96300174.999999985</v>
      </c>
      <c r="O31" s="440"/>
      <c r="P31" s="365"/>
    </row>
    <row r="32" spans="1:16" x14ac:dyDescent="0.2">
      <c r="A32" s="442" t="s">
        <v>343</v>
      </c>
      <c r="B32" s="573">
        <f t="shared" ref="B32:M32" si="21">SUM(B22:B31)</f>
        <v>233312311.60714284</v>
      </c>
      <c r="C32" s="573">
        <f t="shared" si="21"/>
        <v>212579517.60714284</v>
      </c>
      <c r="D32" s="573">
        <f t="shared" si="21"/>
        <v>316777510.10714281</v>
      </c>
      <c r="E32" s="573">
        <f t="shared" si="21"/>
        <v>211579517.60714284</v>
      </c>
      <c r="F32" s="573">
        <f t="shared" si="21"/>
        <v>214166154.60714284</v>
      </c>
      <c r="G32" s="573">
        <f t="shared" si="21"/>
        <v>211579517.60714284</v>
      </c>
      <c r="H32" s="573">
        <f t="shared" si="21"/>
        <v>211579517.60714284</v>
      </c>
      <c r="I32" s="573">
        <f t="shared" si="21"/>
        <v>146917075.75</v>
      </c>
      <c r="J32" s="573">
        <f t="shared" si="21"/>
        <v>93161285.749999985</v>
      </c>
      <c r="K32" s="573">
        <f t="shared" si="21"/>
        <v>94136243.749999985</v>
      </c>
      <c r="L32" s="573">
        <f t="shared" si="21"/>
        <v>93161285.749999985</v>
      </c>
      <c r="M32" s="573">
        <f t="shared" si="21"/>
        <v>92161285.749999985</v>
      </c>
      <c r="N32" s="572">
        <f>SUM(B32:M32)</f>
        <v>2131111223.5</v>
      </c>
      <c r="O32" s="355"/>
      <c r="P32" s="365"/>
    </row>
    <row r="33" spans="1:16" ht="12.75" thickBot="1" x14ac:dyDescent="0.25">
      <c r="A33" s="443" t="s">
        <v>344</v>
      </c>
      <c r="B33" s="574">
        <f ca="1">'6.melléklet.Kiadások.Önk.'!AG62/12</f>
        <v>43911202.583333336</v>
      </c>
      <c r="C33" s="574">
        <f ca="1">+B33</f>
        <v>43911202.583333336</v>
      </c>
      <c r="D33" s="574">
        <f t="shared" ref="D33:M33" ca="1" si="22">+C33</f>
        <v>43911202.583333336</v>
      </c>
      <c r="E33" s="574">
        <f t="shared" ca="1" si="22"/>
        <v>43911202.583333336</v>
      </c>
      <c r="F33" s="574">
        <f t="shared" ca="1" si="22"/>
        <v>43911202.583333336</v>
      </c>
      <c r="G33" s="574">
        <f t="shared" ca="1" si="22"/>
        <v>43911202.583333336</v>
      </c>
      <c r="H33" s="574">
        <f t="shared" ca="1" si="22"/>
        <v>43911202.583333336</v>
      </c>
      <c r="I33" s="574">
        <f t="shared" ca="1" si="22"/>
        <v>43911202.583333336</v>
      </c>
      <c r="J33" s="574">
        <f t="shared" ca="1" si="22"/>
        <v>43911202.583333336</v>
      </c>
      <c r="K33" s="574">
        <f t="shared" ca="1" si="22"/>
        <v>43911202.583333336</v>
      </c>
      <c r="L33" s="574">
        <f t="shared" ca="1" si="22"/>
        <v>43911202.583333336</v>
      </c>
      <c r="M33" s="574">
        <f t="shared" ca="1" si="22"/>
        <v>43911202.583333336</v>
      </c>
      <c r="N33" s="575">
        <f t="shared" ca="1" si="19"/>
        <v>526934430.99999994</v>
      </c>
      <c r="O33" s="358"/>
      <c r="P33" s="365"/>
    </row>
    <row r="34" spans="1:16" x14ac:dyDescent="0.2">
      <c r="A34" s="444"/>
      <c r="B34" s="576"/>
      <c r="C34" s="577"/>
      <c r="D34" s="577"/>
      <c r="E34" s="577"/>
      <c r="F34" s="577"/>
      <c r="G34" s="577"/>
      <c r="H34" s="577"/>
      <c r="I34" s="577"/>
      <c r="J34" s="577"/>
      <c r="K34" s="577"/>
      <c r="L34" s="577"/>
      <c r="M34" s="577"/>
      <c r="N34" s="576"/>
    </row>
    <row r="35" spans="1:16" x14ac:dyDescent="0.2">
      <c r="A35" s="446"/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5"/>
    </row>
    <row r="36" spans="1:16" x14ac:dyDescent="0.2">
      <c r="A36" s="369"/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358"/>
    </row>
    <row r="37" spans="1:16" x14ac:dyDescent="0.2">
      <c r="A37" s="448"/>
      <c r="B37" s="447"/>
      <c r="C37" s="444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N37" s="355"/>
    </row>
    <row r="38" spans="1:16" x14ac:dyDescent="0.2">
      <c r="A38" s="448"/>
      <c r="B38" s="447"/>
      <c r="C38" s="444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355"/>
    </row>
    <row r="39" spans="1:16" x14ac:dyDescent="0.2">
      <c r="A39" s="448"/>
      <c r="B39" s="447"/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355"/>
    </row>
    <row r="40" spans="1:16" x14ac:dyDescent="0.2">
      <c r="A40" s="448"/>
      <c r="B40" s="447"/>
      <c r="C40" s="444"/>
      <c r="D40" s="444"/>
      <c r="E40" s="444"/>
      <c r="F40" s="449"/>
      <c r="G40" s="444"/>
      <c r="H40" s="444"/>
      <c r="I40" s="444"/>
      <c r="J40" s="444"/>
      <c r="K40" s="444"/>
      <c r="L40" s="444"/>
      <c r="M40" s="444"/>
      <c r="N40" s="355"/>
    </row>
    <row r="41" spans="1:16" x14ac:dyDescent="0.2">
      <c r="A41" s="448"/>
      <c r="B41" s="444"/>
      <c r="C41" s="444"/>
      <c r="D41" s="444"/>
      <c r="E41" s="444"/>
      <c r="F41" s="444"/>
      <c r="G41" s="444"/>
      <c r="H41" s="444"/>
      <c r="I41" s="444"/>
      <c r="J41" s="444"/>
      <c r="K41" s="444"/>
      <c r="L41" s="444"/>
      <c r="M41" s="444"/>
      <c r="N41" s="355"/>
    </row>
    <row r="42" spans="1:16" x14ac:dyDescent="0.2">
      <c r="A42" s="448"/>
      <c r="B42" s="444"/>
      <c r="C42" s="444"/>
      <c r="D42" s="444"/>
      <c r="E42" s="444"/>
      <c r="F42" s="444"/>
      <c r="G42" s="444"/>
      <c r="H42" s="444"/>
      <c r="I42" s="444"/>
      <c r="J42" s="444"/>
      <c r="K42" s="444"/>
      <c r="L42" s="444"/>
      <c r="M42" s="444"/>
      <c r="N42" s="355"/>
    </row>
    <row r="43" spans="1:16" x14ac:dyDescent="0.2">
      <c r="A43" s="448"/>
      <c r="B43" s="355"/>
      <c r="C43" s="450"/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N43" s="355"/>
    </row>
    <row r="44" spans="1:16" x14ac:dyDescent="0.2">
      <c r="A44" s="451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355"/>
    </row>
    <row r="45" spans="1:16" x14ac:dyDescent="0.2">
      <c r="A45" s="452"/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</row>
    <row r="46" spans="1:16" x14ac:dyDescent="0.2">
      <c r="A46" s="453"/>
      <c r="B46" s="355"/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4"/>
    </row>
    <row r="47" spans="1:16" x14ac:dyDescent="0.2">
      <c r="A47" s="453"/>
      <c r="B47" s="355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</row>
    <row r="48" spans="1:16" x14ac:dyDescent="0.2">
      <c r="A48" s="453"/>
      <c r="B48" s="454"/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454"/>
    </row>
    <row r="49" spans="1:14" x14ac:dyDescent="0.2">
      <c r="A49" s="453"/>
      <c r="B49" s="454"/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</row>
  </sheetData>
  <mergeCells count="4">
    <mergeCell ref="A1:N1"/>
    <mergeCell ref="A3:N3"/>
    <mergeCell ref="A5:N5"/>
    <mergeCell ref="A6:N6"/>
  </mergeCells>
  <pageMargins left="0.25" right="0.25" top="0.14583333333333334" bottom="0.75" header="0.3" footer="0.3"/>
  <pageSetup paperSize="9" orientation="landscape" r:id="rId1"/>
  <headerFooter alignWithMargins="0"/>
  <ignoredErrors>
    <ignoredError sqref="C32:M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AW10"/>
  <sheetViews>
    <sheetView zoomScalePageLayoutView="85" workbookViewId="0">
      <selection activeCell="B31" sqref="B31"/>
    </sheetView>
  </sheetViews>
  <sheetFormatPr defaultColWidth="9.140625" defaultRowHeight="12.75" x14ac:dyDescent="0.2"/>
  <cols>
    <col min="1" max="1" width="6.28515625" style="240" customWidth="1"/>
    <col min="2" max="2" width="33.5703125" style="241" customWidth="1"/>
    <col min="3" max="3" width="14.42578125" style="242" customWidth="1"/>
    <col min="4" max="4" width="15" style="242" customWidth="1"/>
    <col min="5" max="5" width="12.140625" style="262" customWidth="1"/>
    <col min="6" max="6" width="27.5703125" style="240" customWidth="1"/>
    <col min="7" max="7" width="13.85546875" style="240" customWidth="1"/>
    <col min="8" max="8" width="15.140625" style="240" customWidth="1"/>
    <col min="9" max="16384" width="9.140625" style="240"/>
  </cols>
  <sheetData>
    <row r="1" spans="1:49" s="201" customFormat="1" ht="27.75" customHeight="1" x14ac:dyDescent="0.2">
      <c r="A1" s="787"/>
      <c r="B1" s="788"/>
      <c r="C1" s="788"/>
      <c r="D1" s="788"/>
      <c r="E1" s="788"/>
      <c r="F1" s="199"/>
      <c r="G1" s="199"/>
      <c r="H1" s="199"/>
      <c r="I1" s="199"/>
      <c r="J1" s="199"/>
      <c r="K1" s="199"/>
      <c r="L1" s="199"/>
      <c r="M1" s="199"/>
      <c r="N1" s="199"/>
      <c r="O1" s="324"/>
      <c r="P1" s="324"/>
      <c r="Q1" s="324"/>
      <c r="R1" s="324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</row>
    <row r="2" spans="1:49" s="201" customFormat="1" x14ac:dyDescent="0.2">
      <c r="A2" s="789" t="s">
        <v>520</v>
      </c>
      <c r="B2" s="790"/>
      <c r="C2" s="790"/>
      <c r="D2" s="790"/>
      <c r="E2" s="790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</row>
    <row r="3" spans="1:49" s="201" customFormat="1" ht="28.5" customHeight="1" x14ac:dyDescent="0.2">
      <c r="F3" s="199"/>
      <c r="G3" s="199"/>
      <c r="H3" s="199"/>
      <c r="I3" s="199"/>
      <c r="J3" s="199"/>
      <c r="K3" s="199"/>
      <c r="L3" s="199"/>
      <c r="M3" s="199"/>
      <c r="N3" s="199"/>
      <c r="O3" s="324"/>
      <c r="P3" s="324"/>
      <c r="Q3" s="324"/>
      <c r="R3" s="324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</row>
    <row r="4" spans="1:49" s="201" customFormat="1" ht="12" x14ac:dyDescent="0.2">
      <c r="A4" s="206"/>
      <c r="B4" s="207"/>
      <c r="C4" s="207"/>
      <c r="D4" s="207"/>
      <c r="E4" s="328"/>
      <c r="F4" s="328"/>
      <c r="G4" s="328"/>
      <c r="H4" s="328"/>
      <c r="I4" s="328"/>
      <c r="J4" s="329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</row>
    <row r="5" spans="1:49" s="201" customFormat="1" ht="58.5" customHeight="1" x14ac:dyDescent="0.25">
      <c r="A5" s="800" t="s">
        <v>451</v>
      </c>
      <c r="B5" s="801"/>
      <c r="C5" s="801"/>
      <c r="D5" s="801"/>
      <c r="E5" s="801"/>
      <c r="F5" s="210"/>
      <c r="G5" s="210"/>
      <c r="H5" s="210"/>
      <c r="I5" s="210"/>
      <c r="J5" s="210"/>
      <c r="K5" s="210"/>
      <c r="L5" s="210"/>
      <c r="M5" s="210"/>
      <c r="N5" s="210"/>
      <c r="O5" s="331"/>
      <c r="P5" s="331"/>
      <c r="Q5" s="331"/>
      <c r="R5" s="331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</row>
    <row r="6" spans="1:49" s="201" customFormat="1" ht="22.5" customHeight="1" thickBot="1" x14ac:dyDescent="0.25">
      <c r="A6" s="802" t="s">
        <v>429</v>
      </c>
      <c r="B6" s="802"/>
      <c r="C6" s="802"/>
      <c r="D6" s="802"/>
      <c r="E6" s="802"/>
      <c r="F6" s="200"/>
      <c r="G6" s="200"/>
      <c r="H6" s="200"/>
      <c r="I6" s="200"/>
      <c r="J6" s="200"/>
      <c r="K6" s="200"/>
      <c r="L6" s="200"/>
      <c r="M6" s="200"/>
      <c r="N6" s="200"/>
      <c r="O6" s="324"/>
      <c r="P6" s="324"/>
      <c r="Q6" s="324"/>
      <c r="R6" s="324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</row>
    <row r="7" spans="1:49" ht="33" customHeight="1" x14ac:dyDescent="0.2">
      <c r="A7" s="456" t="s">
        <v>345</v>
      </c>
      <c r="B7" s="457" t="s">
        <v>66</v>
      </c>
      <c r="C7" s="458" t="s">
        <v>55</v>
      </c>
      <c r="D7" s="458" t="s">
        <v>56</v>
      </c>
      <c r="E7" s="459" t="s">
        <v>346</v>
      </c>
      <c r="G7" s="460"/>
      <c r="H7" s="460"/>
    </row>
    <row r="8" spans="1:49" x14ac:dyDescent="0.2">
      <c r="A8" s="578" t="s">
        <v>57</v>
      </c>
      <c r="B8" s="579" t="s">
        <v>65</v>
      </c>
      <c r="C8" s="669" t="s">
        <v>58</v>
      </c>
      <c r="D8" s="670" t="s">
        <v>59</v>
      </c>
      <c r="E8" s="671" t="s">
        <v>60</v>
      </c>
      <c r="G8" s="252"/>
      <c r="H8" s="262"/>
    </row>
    <row r="9" spans="1:49" ht="25.5" x14ac:dyDescent="0.2">
      <c r="A9" s="461">
        <v>1</v>
      </c>
      <c r="B9" s="217" t="s">
        <v>452</v>
      </c>
      <c r="C9" s="462">
        <f>117143681+40613701</f>
        <v>157757382</v>
      </c>
      <c r="D9" s="220">
        <v>165377382</v>
      </c>
      <c r="E9" s="463">
        <v>7620000</v>
      </c>
    </row>
    <row r="10" spans="1:49" ht="13.5" thickBot="1" x14ac:dyDescent="0.25">
      <c r="A10" s="464"/>
      <c r="B10" s="465" t="s">
        <v>68</v>
      </c>
      <c r="C10" s="230">
        <f>SUM(C9)</f>
        <v>157757382</v>
      </c>
      <c r="D10" s="230">
        <f>SUM(D9:D9)</f>
        <v>165377382</v>
      </c>
      <c r="E10" s="231">
        <f>SUM(E9:E9)</f>
        <v>7620000</v>
      </c>
    </row>
  </sheetData>
  <mergeCells count="4">
    <mergeCell ref="A1:E1"/>
    <mergeCell ref="A2:E2"/>
    <mergeCell ref="A5:E5"/>
    <mergeCell ref="A6:E6"/>
  </mergeCells>
  <printOptions horizontalCentered="1"/>
  <pageMargins left="0.78740157480314965" right="0.78740157480314965" top="0.2083333333333333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AW17"/>
  <sheetViews>
    <sheetView workbookViewId="0">
      <selection activeCell="H3" sqref="H3"/>
    </sheetView>
  </sheetViews>
  <sheetFormatPr defaultColWidth="9.140625" defaultRowHeight="12.75" x14ac:dyDescent="0.2"/>
  <cols>
    <col min="1" max="1" width="7.7109375" style="466" customWidth="1"/>
    <col min="2" max="2" width="36.7109375" style="466" customWidth="1"/>
    <col min="3" max="4" width="13.28515625" style="466" customWidth="1"/>
    <col min="5" max="5" width="13.5703125" style="466" customWidth="1"/>
    <col min="6" max="16384" width="9.140625" style="466"/>
  </cols>
  <sheetData>
    <row r="1" spans="1:49" s="201" customFormat="1" ht="34.5" customHeight="1" x14ac:dyDescent="0.2">
      <c r="A1" s="787"/>
      <c r="B1" s="788"/>
      <c r="C1" s="788"/>
      <c r="D1" s="788"/>
      <c r="E1" s="788"/>
      <c r="F1" s="199"/>
      <c r="G1" s="199"/>
      <c r="H1" s="199"/>
      <c r="I1" s="199"/>
      <c r="J1" s="199"/>
      <c r="K1" s="199"/>
      <c r="L1" s="199"/>
      <c r="M1" s="199"/>
      <c r="N1" s="199"/>
      <c r="O1" s="324"/>
      <c r="P1" s="324"/>
      <c r="Q1" s="324"/>
      <c r="R1" s="324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</row>
    <row r="2" spans="1:49" s="201" customFormat="1" ht="34.5" customHeight="1" x14ac:dyDescent="0.2">
      <c r="A2" s="202"/>
      <c r="B2" s="806"/>
      <c r="C2" s="806"/>
      <c r="D2" s="806"/>
      <c r="E2" s="80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</row>
    <row r="3" spans="1:49" s="201" customFormat="1" ht="34.5" customHeight="1" x14ac:dyDescent="0.2">
      <c r="A3" s="789" t="s">
        <v>521</v>
      </c>
      <c r="B3" s="790"/>
      <c r="C3" s="790"/>
      <c r="D3" s="790"/>
      <c r="E3" s="790"/>
      <c r="F3" s="199"/>
      <c r="G3" s="199"/>
      <c r="H3" s="199"/>
      <c r="I3" s="199"/>
      <c r="J3" s="199"/>
      <c r="K3" s="199"/>
      <c r="L3" s="199"/>
      <c r="M3" s="199"/>
      <c r="N3" s="199"/>
      <c r="O3" s="324"/>
      <c r="P3" s="324"/>
      <c r="Q3" s="324"/>
      <c r="R3" s="324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</row>
    <row r="4" spans="1:49" s="201" customFormat="1" ht="34.5" customHeight="1" x14ac:dyDescent="0.2">
      <c r="A4" s="206"/>
      <c r="B4" s="207"/>
      <c r="C4" s="207"/>
      <c r="D4" s="207"/>
      <c r="E4" s="328"/>
      <c r="F4" s="328"/>
      <c r="G4" s="328"/>
      <c r="H4" s="328"/>
      <c r="I4" s="328"/>
      <c r="J4" s="329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</row>
    <row r="5" spans="1:49" s="201" customFormat="1" ht="34.5" customHeight="1" x14ac:dyDescent="0.25">
      <c r="A5" s="800" t="s">
        <v>347</v>
      </c>
      <c r="B5" s="801"/>
      <c r="C5" s="801"/>
      <c r="D5" s="801"/>
      <c r="E5" s="801"/>
      <c r="F5" s="210"/>
      <c r="G5" s="210"/>
      <c r="H5" s="210"/>
      <c r="I5" s="210"/>
      <c r="J5" s="210"/>
      <c r="K5" s="210"/>
      <c r="L5" s="210"/>
      <c r="M5" s="210"/>
      <c r="N5" s="210"/>
      <c r="O5" s="331"/>
      <c r="P5" s="331"/>
      <c r="Q5" s="331"/>
      <c r="R5" s="331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</row>
    <row r="6" spans="1:49" s="201" customFormat="1" ht="34.5" customHeight="1" x14ac:dyDescent="0.2">
      <c r="A6" s="799" t="s">
        <v>426</v>
      </c>
      <c r="B6" s="799"/>
      <c r="C6" s="799"/>
      <c r="D6" s="799"/>
      <c r="E6" s="799"/>
      <c r="F6" s="200"/>
      <c r="G6" s="200"/>
      <c r="H6" s="200"/>
      <c r="I6" s="200"/>
      <c r="J6" s="200"/>
      <c r="K6" s="200"/>
      <c r="L6" s="200"/>
      <c r="M6" s="200"/>
      <c r="N6" s="200"/>
      <c r="O6" s="324"/>
      <c r="P6" s="324"/>
      <c r="Q6" s="324"/>
      <c r="R6" s="324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</row>
    <row r="7" spans="1:49" s="201" customFormat="1" ht="42" customHeight="1" x14ac:dyDescent="0.2">
      <c r="A7" s="562" t="s">
        <v>191</v>
      </c>
      <c r="B7" s="562" t="s">
        <v>66</v>
      </c>
      <c r="C7" s="580" t="s">
        <v>348</v>
      </c>
      <c r="D7" s="580" t="s">
        <v>522</v>
      </c>
      <c r="E7" s="580" t="s">
        <v>349</v>
      </c>
      <c r="F7" s="200"/>
      <c r="G7" s="200"/>
      <c r="H7" s="200"/>
      <c r="I7" s="200"/>
      <c r="J7" s="200"/>
      <c r="K7" s="200"/>
      <c r="L7" s="200"/>
      <c r="M7" s="200"/>
      <c r="N7" s="200"/>
      <c r="O7" s="324"/>
      <c r="P7" s="324"/>
      <c r="Q7" s="324"/>
      <c r="R7" s="324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</row>
    <row r="8" spans="1:49" s="201" customFormat="1" ht="42" customHeight="1" x14ac:dyDescent="0.2">
      <c r="A8" s="562" t="s">
        <v>57</v>
      </c>
      <c r="B8" s="562" t="s">
        <v>65</v>
      </c>
      <c r="C8" s="562" t="s">
        <v>58</v>
      </c>
      <c r="D8" s="562" t="s">
        <v>59</v>
      </c>
      <c r="E8" s="562" t="s">
        <v>60</v>
      </c>
      <c r="F8" s="200"/>
      <c r="G8" s="200"/>
      <c r="H8" s="200"/>
      <c r="I8" s="200"/>
      <c r="J8" s="200"/>
      <c r="K8" s="200"/>
      <c r="L8" s="200"/>
      <c r="M8" s="200"/>
      <c r="N8" s="200"/>
      <c r="O8" s="324"/>
      <c r="P8" s="324"/>
      <c r="Q8" s="324"/>
      <c r="R8" s="324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  <c r="AU8" s="325"/>
      <c r="AV8" s="325"/>
      <c r="AW8" s="325"/>
    </row>
    <row r="9" spans="1:49" ht="15" x14ac:dyDescent="0.25">
      <c r="A9" s="467"/>
      <c r="B9" s="468" t="s">
        <v>350</v>
      </c>
      <c r="C9" s="803"/>
      <c r="D9" s="804"/>
      <c r="E9" s="805"/>
    </row>
    <row r="10" spans="1:49" ht="15.75" x14ac:dyDescent="0.25">
      <c r="A10" s="469">
        <v>1</v>
      </c>
      <c r="B10" s="470" t="s">
        <v>351</v>
      </c>
      <c r="C10" s="471">
        <f>D10+E10</f>
        <v>18455500</v>
      </c>
      <c r="D10" s="472">
        <v>18200000</v>
      </c>
      <c r="E10" s="473">
        <v>255500</v>
      </c>
      <c r="F10" s="474"/>
    </row>
    <row r="11" spans="1:49" ht="15.75" x14ac:dyDescent="0.25">
      <c r="A11" s="469">
        <v>2</v>
      </c>
      <c r="B11" s="470" t="s">
        <v>352</v>
      </c>
      <c r="C11" s="471">
        <f>D11+E11</f>
        <v>87028691</v>
      </c>
      <c r="D11" s="472">
        <v>86815000</v>
      </c>
      <c r="E11" s="473">
        <v>213691</v>
      </c>
      <c r="F11" s="474"/>
    </row>
    <row r="12" spans="1:49" ht="16.5" thickBot="1" x14ac:dyDescent="0.3">
      <c r="A12" s="475"/>
      <c r="B12" s="476" t="s">
        <v>68</v>
      </c>
      <c r="C12" s="477">
        <f>SUM(C10:C11)</f>
        <v>105484191</v>
      </c>
      <c r="D12" s="477">
        <f>SUM(D10:D11)</f>
        <v>105015000</v>
      </c>
      <c r="E12" s="478">
        <f>E10+E11</f>
        <v>469191</v>
      </c>
    </row>
    <row r="17" spans="4:4" x14ac:dyDescent="0.2">
      <c r="D17" s="479"/>
    </row>
  </sheetData>
  <mergeCells count="6">
    <mergeCell ref="C9:E9"/>
    <mergeCell ref="A1:E1"/>
    <mergeCell ref="A3:E3"/>
    <mergeCell ref="A5:E5"/>
    <mergeCell ref="A6:E6"/>
    <mergeCell ref="B2:E2"/>
  </mergeCells>
  <printOptions horizontalCentered="1"/>
  <pageMargins left="0.74803149606299213" right="0.74803149606299213" top="0.2187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F50"/>
  <sheetViews>
    <sheetView showWhiteSpace="0" zoomScale="80" zoomScaleNormal="80" zoomScaleSheetLayoutView="100" workbookViewId="0">
      <pane xSplit="4" ySplit="6" topLeftCell="E10" activePane="bottomRight" state="frozen"/>
      <selection pane="topRight" activeCell="D1" sqref="D1"/>
      <selection pane="bottomLeft" activeCell="A6" sqref="A6"/>
      <selection pane="bottomRight" activeCell="N33" sqref="N33"/>
    </sheetView>
  </sheetViews>
  <sheetFormatPr defaultColWidth="9.28515625" defaultRowHeight="15" x14ac:dyDescent="0.25"/>
  <cols>
    <col min="1" max="1" width="7.140625" style="71" customWidth="1"/>
    <col min="2" max="2" width="5" style="3" customWidth="1"/>
    <col min="3" max="3" width="11.42578125" style="3" customWidth="1"/>
    <col min="4" max="4" width="50.85546875" style="3" customWidth="1"/>
    <col min="5" max="5" width="17.42578125" style="34" bestFit="1" customWidth="1"/>
    <col min="6" max="6" width="17.28515625" style="34" customWidth="1"/>
    <col min="7" max="7" width="15.42578125" style="34" bestFit="1" customWidth="1"/>
    <col min="8" max="10" width="12.42578125" style="34" bestFit="1" customWidth="1"/>
    <col min="11" max="11" width="15.42578125" style="34" bestFit="1" customWidth="1"/>
    <col min="12" max="12" width="10.85546875" style="34" customWidth="1"/>
    <col min="13" max="13" width="16.5703125" style="34" bestFit="1" customWidth="1"/>
    <col min="14" max="14" width="14" style="34" customWidth="1"/>
    <col min="15" max="15" width="12.140625" style="34" customWidth="1"/>
    <col min="16" max="16" width="12.28515625" style="34" customWidth="1"/>
    <col min="17" max="17" width="14.85546875" style="34" bestFit="1" customWidth="1"/>
    <col min="18" max="18" width="14" style="34" customWidth="1"/>
    <col min="19" max="19" width="14.28515625" style="34" bestFit="1" customWidth="1"/>
    <col min="20" max="20" width="10.7109375" style="34" bestFit="1" customWidth="1"/>
    <col min="21" max="21" width="12" style="34" customWidth="1"/>
    <col min="22" max="22" width="12.28515625" style="34" customWidth="1"/>
    <col min="23" max="23" width="15.140625" style="34" customWidth="1"/>
    <col min="24" max="24" width="12.42578125" style="34" bestFit="1" customWidth="1"/>
    <col min="25" max="25" width="15.42578125" style="34" bestFit="1" customWidth="1"/>
    <col min="26" max="26" width="12.42578125" style="34" customWidth="1"/>
    <col min="27" max="27" width="14.28515625" style="34" bestFit="1" customWidth="1"/>
    <col min="28" max="28" width="14" style="3" customWidth="1"/>
    <col min="29" max="29" width="15.140625" style="3" customWidth="1"/>
    <col min="30" max="30" width="13.5703125" style="3" bestFit="1" customWidth="1"/>
    <col min="31" max="16384" width="9.28515625" style="3"/>
  </cols>
  <sheetData>
    <row r="1" spans="1:32" s="605" customFormat="1" ht="28.5" customHeight="1" x14ac:dyDescent="0.3">
      <c r="A1" s="644"/>
      <c r="E1" s="606"/>
      <c r="F1" s="606"/>
      <c r="G1" s="606"/>
      <c r="H1" s="606"/>
      <c r="I1" s="606"/>
      <c r="J1" s="606"/>
      <c r="K1" s="606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606"/>
      <c r="AA1" s="606"/>
    </row>
    <row r="2" spans="1:32" ht="26.25" customHeight="1" x14ac:dyDescent="0.3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U2" s="34" t="s">
        <v>498</v>
      </c>
    </row>
    <row r="3" spans="1:32" ht="45.75" customHeight="1" x14ac:dyDescent="0.25">
      <c r="A3" s="70"/>
      <c r="B3" s="1">
        <v>1</v>
      </c>
      <c r="C3" s="1"/>
      <c r="D3" s="734" t="s">
        <v>499</v>
      </c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  <c r="AA3" s="734"/>
      <c r="AB3" s="734"/>
    </row>
    <row r="4" spans="1:32" ht="45.75" customHeight="1" x14ac:dyDescent="0.25">
      <c r="A4" s="70" t="s">
        <v>57</v>
      </c>
      <c r="B4" s="1"/>
      <c r="C4" s="1" t="s">
        <v>65</v>
      </c>
      <c r="D4" s="100" t="s">
        <v>58</v>
      </c>
      <c r="E4" s="730" t="s">
        <v>59</v>
      </c>
      <c r="F4" s="731"/>
      <c r="G4" s="730" t="s">
        <v>60</v>
      </c>
      <c r="H4" s="731"/>
      <c r="I4" s="730" t="s">
        <v>67</v>
      </c>
      <c r="J4" s="731"/>
      <c r="K4" s="730" t="s">
        <v>69</v>
      </c>
      <c r="L4" s="731"/>
      <c r="M4" s="730" t="s">
        <v>70</v>
      </c>
      <c r="N4" s="731"/>
      <c r="O4" s="730" t="s">
        <v>71</v>
      </c>
      <c r="P4" s="731"/>
      <c r="Q4" s="730"/>
      <c r="R4" s="731"/>
      <c r="S4" s="730" t="s">
        <v>72</v>
      </c>
      <c r="T4" s="731"/>
      <c r="U4" s="730" t="s">
        <v>104</v>
      </c>
      <c r="V4" s="731"/>
      <c r="W4" s="730" t="s">
        <v>98</v>
      </c>
      <c r="X4" s="731"/>
      <c r="Y4" s="730" t="s">
        <v>186</v>
      </c>
      <c r="Z4" s="731"/>
      <c r="AA4" s="730" t="s">
        <v>99</v>
      </c>
      <c r="AB4" s="731"/>
    </row>
    <row r="5" spans="1:32" ht="63.75" customHeight="1" x14ac:dyDescent="0.25">
      <c r="A5" s="70" t="s">
        <v>1</v>
      </c>
      <c r="B5" s="1">
        <v>2</v>
      </c>
      <c r="C5" s="25" t="s">
        <v>73</v>
      </c>
      <c r="D5" s="26" t="s">
        <v>74</v>
      </c>
      <c r="E5" s="732" t="s">
        <v>63</v>
      </c>
      <c r="F5" s="733"/>
      <c r="G5" s="732" t="s">
        <v>62</v>
      </c>
      <c r="H5" s="733"/>
      <c r="I5" s="732" t="s">
        <v>75</v>
      </c>
      <c r="J5" s="733"/>
      <c r="K5" s="732" t="s">
        <v>130</v>
      </c>
      <c r="L5" s="733"/>
      <c r="M5" s="732" t="s">
        <v>76</v>
      </c>
      <c r="N5" s="733"/>
      <c r="O5" s="732" t="s">
        <v>77</v>
      </c>
      <c r="P5" s="733"/>
      <c r="Q5" s="732" t="s">
        <v>233</v>
      </c>
      <c r="R5" s="733"/>
      <c r="S5" s="732" t="s">
        <v>542</v>
      </c>
      <c r="T5" s="733"/>
      <c r="U5" s="732" t="s">
        <v>544</v>
      </c>
      <c r="V5" s="733"/>
      <c r="W5" s="732" t="s">
        <v>132</v>
      </c>
      <c r="X5" s="733"/>
      <c r="Y5" s="732" t="s">
        <v>79</v>
      </c>
      <c r="Z5" s="733"/>
      <c r="AA5" s="735" t="s">
        <v>80</v>
      </c>
      <c r="AB5" s="735"/>
    </row>
    <row r="6" spans="1:32" s="30" customFormat="1" ht="51" customHeight="1" x14ac:dyDescent="0.25">
      <c r="A6" s="70" t="s">
        <v>3</v>
      </c>
      <c r="B6" s="27">
        <v>3</v>
      </c>
      <c r="C6" s="27"/>
      <c r="D6" s="26" t="s">
        <v>66</v>
      </c>
      <c r="E6" s="72" t="s">
        <v>496</v>
      </c>
      <c r="F6" s="14" t="s">
        <v>481</v>
      </c>
      <c r="G6" s="665" t="s">
        <v>496</v>
      </c>
      <c r="H6" s="14" t="s">
        <v>481</v>
      </c>
      <c r="I6" s="665" t="s">
        <v>496</v>
      </c>
      <c r="J6" s="14" t="s">
        <v>481</v>
      </c>
      <c r="K6" s="665" t="s">
        <v>496</v>
      </c>
      <c r="L6" s="14" t="s">
        <v>481</v>
      </c>
      <c r="M6" s="665" t="s">
        <v>496</v>
      </c>
      <c r="N6" s="14" t="s">
        <v>481</v>
      </c>
      <c r="O6" s="665" t="s">
        <v>496</v>
      </c>
      <c r="P6" s="14" t="s">
        <v>481</v>
      </c>
      <c r="Q6" s="665" t="s">
        <v>496</v>
      </c>
      <c r="R6" s="14" t="s">
        <v>481</v>
      </c>
      <c r="S6" s="665" t="s">
        <v>496</v>
      </c>
      <c r="T6" s="14" t="s">
        <v>481</v>
      </c>
      <c r="U6" s="665" t="s">
        <v>496</v>
      </c>
      <c r="V6" s="14" t="s">
        <v>481</v>
      </c>
      <c r="W6" s="665" t="s">
        <v>496</v>
      </c>
      <c r="X6" s="14" t="s">
        <v>481</v>
      </c>
      <c r="Y6" s="665" t="s">
        <v>496</v>
      </c>
      <c r="Z6" s="14" t="s">
        <v>481</v>
      </c>
      <c r="AA6" s="665" t="s">
        <v>496</v>
      </c>
      <c r="AB6" s="14" t="s">
        <v>481</v>
      </c>
      <c r="AC6" s="44"/>
      <c r="AD6" s="44"/>
      <c r="AE6" s="44"/>
      <c r="AF6" s="44"/>
    </row>
    <row r="7" spans="1:32" s="30" customFormat="1" ht="15.75" customHeight="1" x14ac:dyDescent="0.25">
      <c r="A7" s="70"/>
      <c r="B7" s="27"/>
      <c r="C7" s="27" t="s">
        <v>81</v>
      </c>
      <c r="D7" s="2" t="s">
        <v>425</v>
      </c>
      <c r="E7" s="138">
        <v>600000</v>
      </c>
      <c r="F7" s="128">
        <f>E7+94407+213557</f>
        <v>907964</v>
      </c>
      <c r="G7" s="134"/>
      <c r="H7" s="14"/>
      <c r="I7" s="134"/>
      <c r="J7" s="14"/>
      <c r="K7" s="134"/>
      <c r="L7" s="14"/>
      <c r="M7" s="134"/>
      <c r="N7" s="14"/>
      <c r="O7" s="139"/>
      <c r="P7" s="144"/>
      <c r="Q7" s="140">
        <v>1225900</v>
      </c>
      <c r="R7" s="145">
        <f>Q7</f>
        <v>1225900</v>
      </c>
      <c r="S7" s="134"/>
      <c r="T7" s="14"/>
      <c r="U7" s="139"/>
      <c r="V7" s="14"/>
      <c r="W7" s="134"/>
      <c r="X7" s="14"/>
      <c r="Y7" s="134"/>
      <c r="Z7" s="14"/>
      <c r="AA7" s="80">
        <f>E7+G7+I7+M7+O7+S7+Y7+K7+U7+W7+Q7</f>
        <v>1825900</v>
      </c>
      <c r="AB7" s="80">
        <f>F7+H7+J7+L7+N7+P7+T7+X7+Z7+R7</f>
        <v>2133864</v>
      </c>
      <c r="AC7" s="44"/>
      <c r="AD7" s="44"/>
      <c r="AE7" s="44"/>
      <c r="AF7" s="44"/>
    </row>
    <row r="8" spans="1:32" s="30" customFormat="1" ht="15.75" customHeight="1" x14ac:dyDescent="0.25">
      <c r="A8" s="70"/>
      <c r="B8" s="27"/>
      <c r="C8" s="27" t="s">
        <v>81</v>
      </c>
      <c r="D8" s="2" t="s">
        <v>584</v>
      </c>
      <c r="E8" s="138"/>
      <c r="F8" s="128"/>
      <c r="G8" s="720"/>
      <c r="H8" s="14"/>
      <c r="I8" s="720"/>
      <c r="J8" s="14"/>
      <c r="K8" s="720"/>
      <c r="L8" s="14"/>
      <c r="M8" s="720"/>
      <c r="N8" s="14"/>
      <c r="O8" s="139"/>
      <c r="P8" s="144">
        <v>6000000</v>
      </c>
      <c r="Q8" s="140"/>
      <c r="R8" s="145"/>
      <c r="S8" s="720"/>
      <c r="T8" s="14"/>
      <c r="U8" s="139"/>
      <c r="V8" s="14"/>
      <c r="W8" s="720"/>
      <c r="X8" s="14"/>
      <c r="Y8" s="720"/>
      <c r="Z8" s="14"/>
      <c r="AA8" s="80"/>
      <c r="AB8" s="80">
        <f>F8+H8+J8+L8+N8+P8+T8+X8+Z8+R8</f>
        <v>6000000</v>
      </c>
      <c r="AC8" s="44"/>
      <c r="AD8" s="44"/>
      <c r="AE8" s="44"/>
      <c r="AF8" s="44"/>
    </row>
    <row r="9" spans="1:32" s="30" customFormat="1" ht="15.75" customHeight="1" x14ac:dyDescent="0.25">
      <c r="A9" s="70"/>
      <c r="B9" s="27"/>
      <c r="C9" s="27" t="s">
        <v>82</v>
      </c>
      <c r="D9" s="2" t="s">
        <v>454</v>
      </c>
      <c r="E9" s="138">
        <v>13146913</v>
      </c>
      <c r="F9" s="128">
        <v>14159347</v>
      </c>
      <c r="G9" s="139"/>
      <c r="H9" s="14"/>
      <c r="I9" s="136"/>
      <c r="J9" s="14"/>
      <c r="K9" s="136"/>
      <c r="L9" s="14"/>
      <c r="M9" s="136"/>
      <c r="N9" s="14"/>
      <c r="O9" s="136"/>
      <c r="P9" s="144"/>
      <c r="Q9" s="14"/>
      <c r="R9" s="14"/>
      <c r="S9" s="136"/>
      <c r="T9" s="14"/>
      <c r="U9" s="139"/>
      <c r="V9" s="14"/>
      <c r="W9" s="136"/>
      <c r="X9" s="14"/>
      <c r="Y9" s="136"/>
      <c r="Z9" s="14"/>
      <c r="AA9" s="80">
        <f t="shared" ref="AA9:AA25" si="0">E9+G9+I9+M9+O9+S9+Y9+K9+U9+W9+Q9</f>
        <v>13146913</v>
      </c>
      <c r="AB9" s="80">
        <f t="shared" ref="AB9:AB25" si="1">F9+H9+J9+L9+N9+P9+T9+X9+Z9+R9</f>
        <v>14159347</v>
      </c>
      <c r="AC9" s="44"/>
      <c r="AD9" s="44"/>
      <c r="AE9" s="44"/>
      <c r="AF9" s="44"/>
    </row>
    <row r="10" spans="1:32" s="30" customFormat="1" ht="15.75" customHeight="1" x14ac:dyDescent="0.25">
      <c r="A10" s="70"/>
      <c r="B10" s="27"/>
      <c r="C10" s="27" t="s">
        <v>82</v>
      </c>
      <c r="D10" s="2" t="s">
        <v>455</v>
      </c>
      <c r="E10" s="138">
        <v>2032000</v>
      </c>
      <c r="F10" s="128">
        <f>E10+242154</f>
        <v>2274154</v>
      </c>
      <c r="G10" s="136"/>
      <c r="H10" s="14"/>
      <c r="I10" s="136"/>
      <c r="J10" s="14"/>
      <c r="K10" s="136"/>
      <c r="L10" s="14"/>
      <c r="M10" s="136"/>
      <c r="N10" s="128">
        <v>51792750</v>
      </c>
      <c r="O10" s="136"/>
      <c r="P10" s="144"/>
      <c r="Q10" s="14"/>
      <c r="R10" s="14"/>
      <c r="S10" s="136"/>
      <c r="T10" s="14"/>
      <c r="U10" s="139"/>
      <c r="V10" s="14"/>
      <c r="W10" s="136"/>
      <c r="X10" s="14"/>
      <c r="Y10" s="136"/>
      <c r="Z10" s="14"/>
      <c r="AA10" s="80">
        <f t="shared" si="0"/>
        <v>2032000</v>
      </c>
      <c r="AB10" s="80">
        <f t="shared" si="1"/>
        <v>54066904</v>
      </c>
      <c r="AC10" s="44"/>
      <c r="AD10" s="44"/>
      <c r="AE10" s="44"/>
      <c r="AF10" s="44"/>
    </row>
    <row r="11" spans="1:32" s="30" customFormat="1" ht="15.75" customHeight="1" x14ac:dyDescent="0.25">
      <c r="A11" s="70"/>
      <c r="B11" s="27"/>
      <c r="C11" s="27" t="s">
        <v>82</v>
      </c>
      <c r="D11" s="2" t="s">
        <v>467</v>
      </c>
      <c r="E11" s="138"/>
      <c r="F11" s="128">
        <f t="shared" ref="F11:F16" si="2">E11</f>
        <v>0</v>
      </c>
      <c r="G11" s="657"/>
      <c r="H11" s="14"/>
      <c r="I11" s="657"/>
      <c r="J11" s="14"/>
      <c r="K11" s="657"/>
      <c r="L11" s="14"/>
      <c r="M11" s="657"/>
      <c r="N11" s="128"/>
      <c r="O11" s="657"/>
      <c r="P11" s="144"/>
      <c r="Q11" s="14"/>
      <c r="R11" s="14"/>
      <c r="S11" s="657"/>
      <c r="T11" s="14"/>
      <c r="U11" s="139"/>
      <c r="V11" s="14"/>
      <c r="W11" s="657"/>
      <c r="X11" s="14"/>
      <c r="Y11" s="657"/>
      <c r="Z11" s="14"/>
      <c r="AA11" s="80">
        <f t="shared" si="0"/>
        <v>0</v>
      </c>
      <c r="AB11" s="80">
        <f t="shared" si="1"/>
        <v>0</v>
      </c>
      <c r="AC11" s="44"/>
      <c r="AD11" s="44"/>
      <c r="AE11" s="44"/>
      <c r="AF11" s="44"/>
    </row>
    <row r="12" spans="1:32" s="30" customFormat="1" ht="15.75" customHeight="1" x14ac:dyDescent="0.25">
      <c r="A12" s="70"/>
      <c r="B12" s="27"/>
      <c r="C12" s="27" t="s">
        <v>82</v>
      </c>
      <c r="D12" s="2" t="s">
        <v>456</v>
      </c>
      <c r="E12" s="138">
        <v>11650000</v>
      </c>
      <c r="F12" s="128">
        <f t="shared" si="2"/>
        <v>11650000</v>
      </c>
      <c r="G12" s="136"/>
      <c r="H12" s="14"/>
      <c r="I12" s="136"/>
      <c r="J12" s="14"/>
      <c r="K12" s="136"/>
      <c r="L12" s="14"/>
      <c r="M12" s="690">
        <v>1100000</v>
      </c>
      <c r="N12" s="144">
        <f>M12+143800</f>
        <v>1243800</v>
      </c>
      <c r="O12" s="136"/>
      <c r="P12" s="144"/>
      <c r="Q12" s="14"/>
      <c r="R12" s="14"/>
      <c r="S12" s="666"/>
      <c r="T12" s="14"/>
      <c r="U12" s="139"/>
      <c r="V12" s="14"/>
      <c r="W12" s="136"/>
      <c r="X12" s="14"/>
      <c r="Y12" s="136"/>
      <c r="Z12" s="14"/>
      <c r="AA12" s="80">
        <f t="shared" si="0"/>
        <v>12750000</v>
      </c>
      <c r="AB12" s="80">
        <f t="shared" si="1"/>
        <v>12893800</v>
      </c>
      <c r="AC12" s="44"/>
      <c r="AD12" s="44"/>
      <c r="AE12" s="44"/>
      <c r="AF12" s="44"/>
    </row>
    <row r="13" spans="1:32" s="30" customFormat="1" ht="15.75" customHeight="1" x14ac:dyDescent="0.25">
      <c r="A13" s="70"/>
      <c r="B13" s="27"/>
      <c r="C13" s="27" t="s">
        <v>86</v>
      </c>
      <c r="D13" s="2" t="s">
        <v>474</v>
      </c>
      <c r="E13" s="138"/>
      <c r="F13" s="128">
        <f t="shared" si="2"/>
        <v>0</v>
      </c>
      <c r="G13" s="660"/>
      <c r="H13" s="14"/>
      <c r="I13" s="660"/>
      <c r="J13" s="14"/>
      <c r="K13" s="660"/>
      <c r="L13" s="14"/>
      <c r="M13" s="660"/>
      <c r="N13" s="144">
        <f t="shared" ref="N13:N20" si="3">M13</f>
        <v>0</v>
      </c>
      <c r="O13" s="660"/>
      <c r="P13" s="144">
        <v>19999566</v>
      </c>
      <c r="Q13" s="128">
        <v>1224000</v>
      </c>
      <c r="R13" s="144">
        <v>1224000</v>
      </c>
      <c r="S13" s="660"/>
      <c r="T13" s="14"/>
      <c r="U13" s="139"/>
      <c r="V13" s="14"/>
      <c r="W13" s="660"/>
      <c r="X13" s="14"/>
      <c r="Y13" s="660"/>
      <c r="Z13" s="14"/>
      <c r="AA13" s="80">
        <f t="shared" si="0"/>
        <v>1224000</v>
      </c>
      <c r="AB13" s="80">
        <f t="shared" si="1"/>
        <v>21223566</v>
      </c>
      <c r="AC13" s="44"/>
      <c r="AD13" s="44"/>
      <c r="AE13" s="44"/>
      <c r="AF13" s="44"/>
    </row>
    <row r="14" spans="1:32" s="30" customFormat="1" ht="15.75" customHeight="1" x14ac:dyDescent="0.25">
      <c r="A14" s="70"/>
      <c r="B14" s="27"/>
      <c r="C14" s="27" t="s">
        <v>82</v>
      </c>
      <c r="D14" s="2" t="s">
        <v>457</v>
      </c>
      <c r="E14" s="138"/>
      <c r="F14" s="128">
        <f t="shared" si="2"/>
        <v>0</v>
      </c>
      <c r="G14" s="139"/>
      <c r="H14" s="14"/>
      <c r="I14" s="137"/>
      <c r="J14" s="14"/>
      <c r="K14" s="137"/>
      <c r="L14" s="14"/>
      <c r="M14" s="137"/>
      <c r="N14" s="144">
        <f t="shared" si="3"/>
        <v>0</v>
      </c>
      <c r="O14" s="137"/>
      <c r="P14" s="144"/>
      <c r="Q14" s="128"/>
      <c r="R14" s="14"/>
      <c r="S14" s="139"/>
      <c r="T14" s="144"/>
      <c r="U14" s="139"/>
      <c r="V14" s="14"/>
      <c r="W14" s="137"/>
      <c r="X14" s="14"/>
      <c r="Y14" s="137"/>
      <c r="Z14" s="14"/>
      <c r="AA14" s="80">
        <f t="shared" si="0"/>
        <v>0</v>
      </c>
      <c r="AB14" s="80">
        <f t="shared" si="1"/>
        <v>0</v>
      </c>
      <c r="AC14" s="44"/>
      <c r="AD14" s="44"/>
      <c r="AE14" s="44"/>
      <c r="AF14" s="44"/>
    </row>
    <row r="15" spans="1:32" s="30" customFormat="1" ht="15.75" customHeight="1" x14ac:dyDescent="0.25">
      <c r="A15" s="70"/>
      <c r="B15" s="27"/>
      <c r="C15" s="27" t="s">
        <v>86</v>
      </c>
      <c r="D15" s="667" t="s">
        <v>543</v>
      </c>
      <c r="E15" s="138">
        <v>885825</v>
      </c>
      <c r="F15" s="128">
        <v>885825</v>
      </c>
      <c r="G15" s="139"/>
      <c r="H15" s="14">
        <v>946317</v>
      </c>
      <c r="I15" s="665"/>
      <c r="J15" s="14"/>
      <c r="K15" s="665"/>
      <c r="L15" s="14"/>
      <c r="M15" s="665"/>
      <c r="N15" s="144">
        <f t="shared" si="3"/>
        <v>0</v>
      </c>
      <c r="O15" s="665"/>
      <c r="P15" s="144">
        <v>552039221</v>
      </c>
      <c r="Q15" s="128"/>
      <c r="R15" s="14"/>
      <c r="S15" s="139"/>
      <c r="T15" s="144"/>
      <c r="U15" s="139"/>
      <c r="V15" s="14"/>
      <c r="W15" s="665"/>
      <c r="X15" s="14"/>
      <c r="Y15" s="665"/>
      <c r="Z15" s="14"/>
      <c r="AA15" s="80">
        <f t="shared" si="0"/>
        <v>885825</v>
      </c>
      <c r="AB15" s="80">
        <f t="shared" si="1"/>
        <v>553871363</v>
      </c>
      <c r="AC15" s="44"/>
      <c r="AD15" s="44"/>
      <c r="AE15" s="44"/>
      <c r="AF15" s="44"/>
    </row>
    <row r="16" spans="1:32" s="30" customFormat="1" ht="15.75" customHeight="1" x14ac:dyDescent="0.25">
      <c r="A16" s="70"/>
      <c r="B16" s="27"/>
      <c r="C16" s="27" t="s">
        <v>82</v>
      </c>
      <c r="D16" s="2" t="s">
        <v>458</v>
      </c>
      <c r="E16" s="138"/>
      <c r="F16" s="128">
        <f t="shared" si="2"/>
        <v>0</v>
      </c>
      <c r="G16" s="139"/>
      <c r="H16" s="14"/>
      <c r="I16" s="653"/>
      <c r="J16" s="14"/>
      <c r="K16" s="653"/>
      <c r="L16" s="14"/>
      <c r="M16" s="653"/>
      <c r="N16" s="144">
        <f t="shared" si="3"/>
        <v>0</v>
      </c>
      <c r="O16" s="653"/>
      <c r="P16" s="144">
        <v>9999996</v>
      </c>
      <c r="Q16" s="128"/>
      <c r="R16" s="144"/>
      <c r="S16" s="139"/>
      <c r="T16" s="144"/>
      <c r="U16" s="139"/>
      <c r="V16" s="14"/>
      <c r="W16" s="653"/>
      <c r="X16" s="14"/>
      <c r="Y16" s="653"/>
      <c r="Z16" s="14"/>
      <c r="AA16" s="80">
        <f t="shared" si="0"/>
        <v>0</v>
      </c>
      <c r="AB16" s="80">
        <f t="shared" si="1"/>
        <v>9999996</v>
      </c>
      <c r="AC16" s="44"/>
      <c r="AD16" s="44"/>
      <c r="AE16" s="44"/>
      <c r="AF16" s="44"/>
    </row>
    <row r="17" spans="1:32" s="30" customFormat="1" ht="15.75" customHeight="1" x14ac:dyDescent="0.25">
      <c r="A17" s="70"/>
      <c r="B17" s="27"/>
      <c r="C17" s="27" t="s">
        <v>81</v>
      </c>
      <c r="D17" s="2" t="s">
        <v>459</v>
      </c>
      <c r="E17" s="138">
        <v>10962513</v>
      </c>
      <c r="F17" s="128">
        <v>20790858</v>
      </c>
      <c r="G17" s="139"/>
      <c r="H17" s="14"/>
      <c r="I17" s="653"/>
      <c r="J17" s="14"/>
      <c r="K17" s="653"/>
      <c r="L17" s="14"/>
      <c r="M17" s="653"/>
      <c r="N17" s="144">
        <v>2190476</v>
      </c>
      <c r="O17" s="653"/>
      <c r="P17" s="144">
        <v>148344278</v>
      </c>
      <c r="Q17" s="128">
        <v>7622400</v>
      </c>
      <c r="R17" s="144">
        <v>7622400</v>
      </c>
      <c r="S17" s="139">
        <v>2000000</v>
      </c>
      <c r="T17" s="144">
        <f>S17</f>
        <v>2000000</v>
      </c>
      <c r="U17" s="139"/>
      <c r="V17" s="14"/>
      <c r="W17" s="653"/>
      <c r="X17" s="14"/>
      <c r="Y17" s="653"/>
      <c r="Z17" s="14"/>
      <c r="AA17" s="80">
        <f t="shared" si="0"/>
        <v>20584913</v>
      </c>
      <c r="AB17" s="80">
        <f>F17+H17+J17+L17+N17+P17+T17+X17+Z17+R17</f>
        <v>180948012</v>
      </c>
      <c r="AC17" s="722">
        <f>180948012-AB17</f>
        <v>0</v>
      </c>
      <c r="AD17" s="44"/>
      <c r="AE17" s="44"/>
      <c r="AF17" s="44"/>
    </row>
    <row r="18" spans="1:32" s="30" customFormat="1" ht="15.75" customHeight="1" x14ac:dyDescent="0.25">
      <c r="A18" s="70"/>
      <c r="B18" s="27"/>
      <c r="C18" s="27" t="s">
        <v>81</v>
      </c>
      <c r="D18" s="2" t="s">
        <v>460</v>
      </c>
      <c r="E18" s="138"/>
      <c r="F18" s="128"/>
      <c r="G18" s="139"/>
      <c r="H18" s="14"/>
      <c r="I18" s="32"/>
      <c r="J18" s="14"/>
      <c r="K18" s="137"/>
      <c r="L18" s="14"/>
      <c r="M18" s="139">
        <v>15259000</v>
      </c>
      <c r="N18" s="144">
        <f>M18+1697200</f>
        <v>16956200</v>
      </c>
      <c r="O18" s="137"/>
      <c r="P18" s="144" t="s">
        <v>103</v>
      </c>
      <c r="Q18" s="144"/>
      <c r="R18" s="14"/>
      <c r="S18" s="137"/>
      <c r="T18" s="14"/>
      <c r="U18" s="139"/>
      <c r="V18" s="14"/>
      <c r="W18" s="137"/>
      <c r="X18" s="14"/>
      <c r="Y18" s="137"/>
      <c r="Z18" s="14"/>
      <c r="AA18" s="80">
        <f t="shared" si="0"/>
        <v>15259000</v>
      </c>
      <c r="AB18" s="80">
        <f>N18</f>
        <v>16956200</v>
      </c>
      <c r="AC18" s="44"/>
      <c r="AD18" s="44"/>
      <c r="AE18" s="44"/>
      <c r="AF18" s="44"/>
    </row>
    <row r="19" spans="1:32" s="30" customFormat="1" ht="15.75" customHeight="1" x14ac:dyDescent="0.25">
      <c r="A19" s="70"/>
      <c r="B19" s="27"/>
      <c r="C19" s="27" t="s">
        <v>81</v>
      </c>
      <c r="D19" s="2" t="s">
        <v>461</v>
      </c>
      <c r="E19" s="138"/>
      <c r="F19" s="128"/>
      <c r="G19" s="139"/>
      <c r="H19" s="14"/>
      <c r="I19" s="32"/>
      <c r="J19" s="14"/>
      <c r="K19" s="137"/>
      <c r="L19" s="14"/>
      <c r="M19" s="139">
        <v>246700</v>
      </c>
      <c r="N19" s="144">
        <f t="shared" si="3"/>
        <v>246700</v>
      </c>
      <c r="O19" s="137"/>
      <c r="P19" s="144"/>
      <c r="Q19" s="144"/>
      <c r="R19" s="14"/>
      <c r="S19" s="137"/>
      <c r="T19" s="14"/>
      <c r="U19" s="139"/>
      <c r="V19" s="14"/>
      <c r="W19" s="137"/>
      <c r="X19" s="14"/>
      <c r="Y19" s="137"/>
      <c r="Z19" s="14"/>
      <c r="AA19" s="80">
        <f t="shared" si="0"/>
        <v>246700</v>
      </c>
      <c r="AB19" s="80">
        <f t="shared" si="1"/>
        <v>246700</v>
      </c>
      <c r="AC19" s="44"/>
      <c r="AD19" s="44"/>
      <c r="AE19" s="44"/>
      <c r="AF19" s="44"/>
    </row>
    <row r="20" spans="1:32" s="30" customFormat="1" ht="15.75" customHeight="1" x14ac:dyDescent="0.25">
      <c r="A20" s="70"/>
      <c r="B20" s="27"/>
      <c r="C20" s="27" t="s">
        <v>82</v>
      </c>
      <c r="D20" s="2" t="s">
        <v>462</v>
      </c>
      <c r="E20" s="138">
        <v>893850</v>
      </c>
      <c r="F20" s="128">
        <f>E20+24440</f>
        <v>918290</v>
      </c>
      <c r="G20" s="139"/>
      <c r="H20" s="14"/>
      <c r="J20" s="14"/>
      <c r="K20" s="137"/>
      <c r="L20" s="14"/>
      <c r="M20" s="139">
        <v>240000</v>
      </c>
      <c r="N20" s="144">
        <f t="shared" si="3"/>
        <v>240000</v>
      </c>
      <c r="O20" s="666"/>
      <c r="P20" s="144"/>
      <c r="Q20" s="144"/>
      <c r="R20" s="14"/>
      <c r="S20" s="137"/>
      <c r="T20" s="14"/>
      <c r="U20" s="139"/>
      <c r="V20" s="14"/>
      <c r="W20" s="137"/>
      <c r="X20" s="14"/>
      <c r="Y20" s="137"/>
      <c r="Z20" s="14"/>
      <c r="AA20" s="80">
        <f t="shared" si="0"/>
        <v>1133850</v>
      </c>
      <c r="AB20" s="80">
        <f t="shared" si="1"/>
        <v>1158290</v>
      </c>
      <c r="AC20" s="44"/>
      <c r="AD20" s="44"/>
      <c r="AE20" s="44"/>
      <c r="AF20" s="44"/>
    </row>
    <row r="21" spans="1:32" s="30" customFormat="1" ht="15.75" customHeight="1" x14ac:dyDescent="0.25">
      <c r="A21" s="70"/>
      <c r="B21" s="27"/>
      <c r="C21" s="27" t="s">
        <v>81</v>
      </c>
      <c r="D21" s="2" t="s">
        <v>463</v>
      </c>
      <c r="E21" s="138">
        <v>10154334</v>
      </c>
      <c r="F21" s="128">
        <v>10377106</v>
      </c>
      <c r="G21" s="139"/>
      <c r="H21" s="14"/>
      <c r="I21" s="139"/>
      <c r="J21" s="14"/>
      <c r="K21" s="137"/>
      <c r="L21" s="14"/>
      <c r="M21" s="666"/>
      <c r="N21" s="144"/>
      <c r="O21" s="137"/>
      <c r="P21" s="144"/>
      <c r="Q21" s="144"/>
      <c r="R21" s="14"/>
      <c r="S21" s="137"/>
      <c r="T21" s="14"/>
      <c r="U21" s="139"/>
      <c r="V21" s="14"/>
      <c r="W21" s="137"/>
      <c r="X21" s="14"/>
      <c r="Y21" s="137"/>
      <c r="Z21" s="14"/>
      <c r="AA21" s="80">
        <f t="shared" si="0"/>
        <v>10154334</v>
      </c>
      <c r="AB21" s="80">
        <f t="shared" si="1"/>
        <v>10377106</v>
      </c>
      <c r="AC21" s="44"/>
      <c r="AD21" s="44"/>
      <c r="AE21" s="44"/>
      <c r="AF21" s="44"/>
    </row>
    <row r="22" spans="1:32" s="30" customFormat="1" ht="15.75" customHeight="1" x14ac:dyDescent="0.25">
      <c r="A22" s="70"/>
      <c r="B22" s="27"/>
      <c r="C22" s="27" t="s">
        <v>81</v>
      </c>
      <c r="D22" s="2" t="s">
        <v>464</v>
      </c>
      <c r="E22" s="138"/>
      <c r="F22" s="128"/>
      <c r="G22" s="139">
        <v>106835000</v>
      </c>
      <c r="H22" s="144">
        <f>G22</f>
        <v>106835000</v>
      </c>
      <c r="I22" s="139"/>
      <c r="J22" s="14"/>
      <c r="K22" s="137"/>
      <c r="L22" s="14"/>
      <c r="M22" s="139"/>
      <c r="N22" s="144"/>
      <c r="O22" s="137"/>
      <c r="P22" s="144"/>
      <c r="Q22" s="144"/>
      <c r="R22" s="14"/>
      <c r="S22" s="137"/>
      <c r="T22" s="14"/>
      <c r="U22" s="139"/>
      <c r="V22" s="14"/>
      <c r="W22" s="137"/>
      <c r="X22" s="14"/>
      <c r="Y22" s="137"/>
      <c r="Z22" s="14"/>
      <c r="AA22" s="80">
        <f t="shared" si="0"/>
        <v>106835000</v>
      </c>
      <c r="AB22" s="80">
        <f t="shared" si="1"/>
        <v>106835000</v>
      </c>
      <c r="AC22" s="44"/>
      <c r="AD22" s="44"/>
      <c r="AE22" s="44"/>
      <c r="AF22" s="44"/>
    </row>
    <row r="23" spans="1:32" s="30" customFormat="1" ht="15.75" customHeight="1" x14ac:dyDescent="0.25">
      <c r="A23" s="70"/>
      <c r="B23" s="27"/>
      <c r="C23" s="27" t="s">
        <v>81</v>
      </c>
      <c r="D23" s="2" t="s">
        <v>497</v>
      </c>
      <c r="E23" s="138"/>
      <c r="F23" s="128"/>
      <c r="G23" s="139"/>
      <c r="H23" s="144"/>
      <c r="I23" s="139"/>
      <c r="J23" s="14"/>
      <c r="K23" s="665"/>
      <c r="L23" s="14"/>
      <c r="M23" s="139"/>
      <c r="N23" s="144"/>
      <c r="O23" s="665"/>
      <c r="P23" s="144"/>
      <c r="Q23" s="144"/>
      <c r="R23" s="14"/>
      <c r="S23" s="665"/>
      <c r="T23" s="14"/>
      <c r="U23" s="139"/>
      <c r="V23" s="14"/>
      <c r="W23" s="666">
        <v>393678118</v>
      </c>
      <c r="X23" s="144">
        <f>46166+W23</f>
        <v>393724284</v>
      </c>
      <c r="Y23" s="665"/>
      <c r="Z23" s="14"/>
      <c r="AA23" s="80">
        <f t="shared" si="0"/>
        <v>393678118</v>
      </c>
      <c r="AB23" s="80">
        <f t="shared" si="1"/>
        <v>393724284</v>
      </c>
      <c r="AC23" s="44"/>
      <c r="AD23" s="44"/>
      <c r="AE23" s="44"/>
      <c r="AF23" s="44"/>
    </row>
    <row r="24" spans="1:32" s="30" customFormat="1" ht="15.75" customHeight="1" x14ac:dyDescent="0.25">
      <c r="A24" s="70"/>
      <c r="B24" s="27"/>
      <c r="C24" s="27" t="s">
        <v>81</v>
      </c>
      <c r="D24" s="2" t="s">
        <v>453</v>
      </c>
      <c r="E24" s="138"/>
      <c r="F24" s="128"/>
      <c r="G24" s="139"/>
      <c r="H24" s="14"/>
      <c r="I24" s="139">
        <f>594588121+37624000</f>
        <v>632212121</v>
      </c>
      <c r="J24" s="716">
        <v>648597855</v>
      </c>
      <c r="K24" s="139">
        <v>20000000</v>
      </c>
      <c r="L24" s="717">
        <f>K24</f>
        <v>20000000</v>
      </c>
      <c r="M24" s="139"/>
      <c r="N24" s="144"/>
      <c r="O24" s="137"/>
      <c r="P24" s="14"/>
      <c r="Q24" s="144"/>
      <c r="R24" s="14"/>
      <c r="S24" s="137"/>
      <c r="T24" s="14"/>
      <c r="U24" s="139"/>
      <c r="V24" s="14"/>
      <c r="W24" s="139"/>
      <c r="X24" s="144"/>
      <c r="Y24" s="137"/>
      <c r="Z24" s="144">
        <v>27928613</v>
      </c>
      <c r="AA24" s="80">
        <f t="shared" si="0"/>
        <v>652212121</v>
      </c>
      <c r="AB24" s="80">
        <f t="shared" si="1"/>
        <v>696526468</v>
      </c>
      <c r="AC24" s="44"/>
      <c r="AD24" s="44"/>
      <c r="AE24" s="44"/>
      <c r="AF24" s="44"/>
    </row>
    <row r="25" spans="1:32" s="30" customFormat="1" ht="15.75" customHeight="1" x14ac:dyDescent="0.25">
      <c r="A25" s="70"/>
      <c r="B25" s="27"/>
      <c r="C25" s="27"/>
      <c r="D25" s="2"/>
      <c r="E25" s="138"/>
      <c r="F25" s="15"/>
      <c r="G25" s="139"/>
      <c r="H25" s="14"/>
      <c r="I25" s="139"/>
      <c r="J25" s="14"/>
      <c r="K25" s="137"/>
      <c r="L25" s="14"/>
      <c r="M25" s="139"/>
      <c r="N25" s="144">
        <f t="shared" ref="N25" si="4">M25</f>
        <v>0</v>
      </c>
      <c r="O25" s="137"/>
      <c r="P25" s="14"/>
      <c r="Q25" s="144"/>
      <c r="R25" s="14"/>
      <c r="S25" s="137"/>
      <c r="T25" s="14"/>
      <c r="U25" s="139"/>
      <c r="V25" s="14"/>
      <c r="W25" s="139"/>
      <c r="X25" s="14"/>
      <c r="Y25" s="137"/>
      <c r="Z25" s="14"/>
      <c r="AA25" s="80">
        <f t="shared" si="0"/>
        <v>0</v>
      </c>
      <c r="AB25" s="80">
        <f t="shared" si="1"/>
        <v>0</v>
      </c>
      <c r="AC25" s="44"/>
      <c r="AD25" s="44"/>
      <c r="AE25" s="44"/>
      <c r="AF25" s="44"/>
    </row>
    <row r="26" spans="1:32" ht="15.75" x14ac:dyDescent="0.25">
      <c r="A26" s="70"/>
      <c r="B26" s="1"/>
      <c r="C26" s="1"/>
      <c r="D26" s="26" t="s">
        <v>83</v>
      </c>
      <c r="E26" s="74">
        <f>SUM(E7:E25)</f>
        <v>50325435</v>
      </c>
      <c r="F26" s="74">
        <f t="shared" ref="F26:AB26" si="5">SUM(F7:F25)</f>
        <v>61963544</v>
      </c>
      <c r="G26" s="74">
        <f t="shared" si="5"/>
        <v>106835000</v>
      </c>
      <c r="H26" s="74">
        <f t="shared" si="5"/>
        <v>107781317</v>
      </c>
      <c r="I26" s="74">
        <f t="shared" si="5"/>
        <v>632212121</v>
      </c>
      <c r="J26" s="74">
        <f t="shared" si="5"/>
        <v>648597855</v>
      </c>
      <c r="K26" s="74">
        <f t="shared" si="5"/>
        <v>20000000</v>
      </c>
      <c r="L26" s="74">
        <f t="shared" si="5"/>
        <v>20000000</v>
      </c>
      <c r="M26" s="74">
        <f t="shared" si="5"/>
        <v>16845700</v>
      </c>
      <c r="N26" s="74">
        <f t="shared" si="5"/>
        <v>72669926</v>
      </c>
      <c r="O26" s="74">
        <f t="shared" si="5"/>
        <v>0</v>
      </c>
      <c r="P26" s="74">
        <f t="shared" si="5"/>
        <v>736383061</v>
      </c>
      <c r="Q26" s="74">
        <f t="shared" si="5"/>
        <v>10072300</v>
      </c>
      <c r="R26" s="74">
        <f t="shared" si="5"/>
        <v>10072300</v>
      </c>
      <c r="S26" s="74">
        <f t="shared" si="5"/>
        <v>2000000</v>
      </c>
      <c r="T26" s="74">
        <f t="shared" si="5"/>
        <v>2000000</v>
      </c>
      <c r="U26" s="74">
        <f t="shared" si="5"/>
        <v>0</v>
      </c>
      <c r="V26" s="74">
        <f t="shared" si="5"/>
        <v>0</v>
      </c>
      <c r="W26" s="74">
        <f t="shared" si="5"/>
        <v>393678118</v>
      </c>
      <c r="X26" s="74">
        <f t="shared" si="5"/>
        <v>393724284</v>
      </c>
      <c r="Y26" s="74">
        <f t="shared" si="5"/>
        <v>0</v>
      </c>
      <c r="Z26" s="74">
        <f t="shared" si="5"/>
        <v>27928613</v>
      </c>
      <c r="AA26" s="74">
        <f t="shared" si="5"/>
        <v>1231968674</v>
      </c>
      <c r="AB26" s="74">
        <f t="shared" si="5"/>
        <v>2081120900</v>
      </c>
      <c r="AC26" s="129"/>
      <c r="AD26" s="122"/>
    </row>
    <row r="27" spans="1:32" x14ac:dyDescent="0.25">
      <c r="A27" s="70"/>
      <c r="B27" s="1"/>
      <c r="C27" s="1"/>
      <c r="D27" s="24" t="s">
        <v>84</v>
      </c>
      <c r="E27" s="75">
        <f>E7+E18+E19+E21+E22+E24+E13+E17+E23+E15</f>
        <v>22602672</v>
      </c>
      <c r="F27" s="75">
        <f t="shared" ref="F27:U27" si="6">F7+F18+F19+F21+F22+F24+F13+F17+F23+F15</f>
        <v>32961753</v>
      </c>
      <c r="G27" s="75">
        <f t="shared" si="6"/>
        <v>106835000</v>
      </c>
      <c r="H27" s="75">
        <f t="shared" si="6"/>
        <v>107781317</v>
      </c>
      <c r="I27" s="75">
        <f t="shared" si="6"/>
        <v>632212121</v>
      </c>
      <c r="J27" s="75">
        <f t="shared" si="6"/>
        <v>648597855</v>
      </c>
      <c r="K27" s="75">
        <f t="shared" si="6"/>
        <v>20000000</v>
      </c>
      <c r="L27" s="75">
        <f t="shared" si="6"/>
        <v>20000000</v>
      </c>
      <c r="M27" s="75">
        <f t="shared" si="6"/>
        <v>15505700</v>
      </c>
      <c r="N27" s="75">
        <f t="shared" si="6"/>
        <v>19393376</v>
      </c>
      <c r="O27" s="75">
        <f t="shared" si="6"/>
        <v>0</v>
      </c>
      <c r="P27" s="75">
        <f>P7+P8+P13+P16+P17+P15</f>
        <v>736383061</v>
      </c>
      <c r="Q27" s="75">
        <f t="shared" si="6"/>
        <v>10072300</v>
      </c>
      <c r="R27" s="75">
        <f t="shared" si="6"/>
        <v>10072300</v>
      </c>
      <c r="S27" s="75">
        <f t="shared" si="6"/>
        <v>2000000</v>
      </c>
      <c r="T27" s="75">
        <f t="shared" si="6"/>
        <v>2000000</v>
      </c>
      <c r="U27" s="75">
        <f t="shared" si="6"/>
        <v>0</v>
      </c>
      <c r="V27" s="75">
        <f t="shared" ref="V27:AB27" si="7">V7+V18+V19+V21+V22+V24+V13+V17+V23+V15</f>
        <v>0</v>
      </c>
      <c r="W27" s="75">
        <f t="shared" si="7"/>
        <v>393678118</v>
      </c>
      <c r="X27" s="75">
        <f t="shared" si="7"/>
        <v>393724284</v>
      </c>
      <c r="Y27" s="75">
        <f t="shared" si="7"/>
        <v>0</v>
      </c>
      <c r="Z27" s="75">
        <f t="shared" si="7"/>
        <v>27928613</v>
      </c>
      <c r="AA27" s="75">
        <f t="shared" si="7"/>
        <v>1202905911</v>
      </c>
      <c r="AB27" s="75">
        <f t="shared" si="7"/>
        <v>1982842563</v>
      </c>
      <c r="AC27" s="122"/>
    </row>
    <row r="28" spans="1:32" s="30" customFormat="1" x14ac:dyDescent="0.25">
      <c r="A28" s="70"/>
      <c r="B28" s="1"/>
      <c r="C28" s="1"/>
      <c r="D28" s="24" t="s">
        <v>117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9"/>
      <c r="Z28" s="79"/>
      <c r="AA28" s="75">
        <f t="shared" ref="AA28" si="8">E28+G28+I28+M28+O28+S28+Y28+K28+W28</f>
        <v>0</v>
      </c>
      <c r="AB28" s="80">
        <f>F28+H28+J28+N28+P28+T28+Z28+L28+X28</f>
        <v>0</v>
      </c>
      <c r="AC28" s="29"/>
      <c r="AD28" s="29"/>
    </row>
    <row r="29" spans="1:32" x14ac:dyDescent="0.25">
      <c r="A29" s="70"/>
      <c r="B29" s="1"/>
      <c r="C29" s="24"/>
      <c r="D29" s="24" t="s">
        <v>85</v>
      </c>
      <c r="E29" s="75">
        <f>E9+E10+E12+E14+E20+E11+E16</f>
        <v>27722763</v>
      </c>
      <c r="F29" s="75">
        <f t="shared" ref="F29:AA29" si="9">F9+F10+F12+F14+F20+F11+F16</f>
        <v>29001791</v>
      </c>
      <c r="G29" s="75">
        <f t="shared" si="9"/>
        <v>0</v>
      </c>
      <c r="H29" s="75">
        <f t="shared" si="9"/>
        <v>0</v>
      </c>
      <c r="I29" s="75">
        <f t="shared" si="9"/>
        <v>0</v>
      </c>
      <c r="J29" s="75">
        <f t="shared" si="9"/>
        <v>0</v>
      </c>
      <c r="K29" s="75">
        <f t="shared" si="9"/>
        <v>0</v>
      </c>
      <c r="L29" s="75">
        <f t="shared" si="9"/>
        <v>0</v>
      </c>
      <c r="M29" s="75">
        <f t="shared" si="9"/>
        <v>1340000</v>
      </c>
      <c r="N29" s="75">
        <f t="shared" si="9"/>
        <v>53276550</v>
      </c>
      <c r="O29" s="75">
        <f t="shared" si="9"/>
        <v>0</v>
      </c>
      <c r="P29" s="75"/>
      <c r="Q29" s="75">
        <f t="shared" si="9"/>
        <v>0</v>
      </c>
      <c r="R29" s="75"/>
      <c r="S29" s="75">
        <f t="shared" si="9"/>
        <v>0</v>
      </c>
      <c r="T29" s="75">
        <f t="shared" si="9"/>
        <v>0</v>
      </c>
      <c r="U29" s="75">
        <f t="shared" si="9"/>
        <v>0</v>
      </c>
      <c r="V29" s="75">
        <f t="shared" si="9"/>
        <v>0</v>
      </c>
      <c r="W29" s="75">
        <f t="shared" si="9"/>
        <v>0</v>
      </c>
      <c r="X29" s="75">
        <f t="shared" si="9"/>
        <v>0</v>
      </c>
      <c r="Y29" s="75">
        <f t="shared" si="9"/>
        <v>0</v>
      </c>
      <c r="Z29" s="75">
        <f t="shared" si="9"/>
        <v>0</v>
      </c>
      <c r="AA29" s="75">
        <f t="shared" si="9"/>
        <v>29062763</v>
      </c>
      <c r="AB29" s="75">
        <f>F29+H29+J29+L29+N29+P29+R29+T29+X29</f>
        <v>82278341</v>
      </c>
      <c r="AC29" s="29"/>
      <c r="AD29" s="29"/>
    </row>
    <row r="30" spans="1:32" x14ac:dyDescent="0.25">
      <c r="A30" s="70"/>
      <c r="B30" s="1"/>
      <c r="C30" s="27"/>
      <c r="D30" s="28" t="s">
        <v>240</v>
      </c>
      <c r="E30" s="43">
        <f>E31+E32+E33</f>
        <v>257750</v>
      </c>
      <c r="F30" s="43">
        <f t="shared" ref="F30:AB30" si="10">F31+F32+F33</f>
        <v>408642</v>
      </c>
      <c r="G30" s="43">
        <f t="shared" si="10"/>
        <v>0</v>
      </c>
      <c r="H30" s="43">
        <f t="shared" si="10"/>
        <v>0</v>
      </c>
      <c r="I30" s="43">
        <f t="shared" si="10"/>
        <v>0</v>
      </c>
      <c r="J30" s="43">
        <f t="shared" si="10"/>
        <v>0</v>
      </c>
      <c r="K30" s="43">
        <f t="shared" si="10"/>
        <v>0</v>
      </c>
      <c r="L30" s="43">
        <f t="shared" si="10"/>
        <v>0</v>
      </c>
      <c r="M30" s="43">
        <f t="shared" si="10"/>
        <v>0</v>
      </c>
      <c r="N30" s="43">
        <f t="shared" si="10"/>
        <v>6057461</v>
      </c>
      <c r="O30" s="43">
        <f t="shared" si="10"/>
        <v>0</v>
      </c>
      <c r="P30" s="43">
        <f t="shared" si="10"/>
        <v>0</v>
      </c>
      <c r="Q30" s="43">
        <f t="shared" si="10"/>
        <v>0</v>
      </c>
      <c r="R30" s="43">
        <f t="shared" si="10"/>
        <v>0</v>
      </c>
      <c r="S30" s="43">
        <f t="shared" si="10"/>
        <v>0</v>
      </c>
      <c r="T30" s="43">
        <f t="shared" si="10"/>
        <v>0</v>
      </c>
      <c r="U30" s="43">
        <f t="shared" si="10"/>
        <v>0</v>
      </c>
      <c r="V30" s="43">
        <f t="shared" si="10"/>
        <v>0</v>
      </c>
      <c r="W30" s="43">
        <f t="shared" si="10"/>
        <v>179306</v>
      </c>
      <c r="X30" s="43">
        <f t="shared" si="10"/>
        <v>197866</v>
      </c>
      <c r="Y30" s="43">
        <f t="shared" si="10"/>
        <v>121186622</v>
      </c>
      <c r="Z30" s="43">
        <f t="shared" si="10"/>
        <v>120105010</v>
      </c>
      <c r="AA30" s="43">
        <f t="shared" si="10"/>
        <v>121623678</v>
      </c>
      <c r="AB30" s="43">
        <f t="shared" si="10"/>
        <v>126768979</v>
      </c>
      <c r="AC30" s="147"/>
      <c r="AD30" s="29"/>
    </row>
    <row r="31" spans="1:32" x14ac:dyDescent="0.25">
      <c r="A31" s="70"/>
      <c r="B31" s="1"/>
      <c r="C31" s="1" t="s">
        <v>81</v>
      </c>
      <c r="D31" s="31" t="s">
        <v>86</v>
      </c>
      <c r="E31" s="76">
        <f>'3.mellékletPH.bev.'!D10</f>
        <v>0</v>
      </c>
      <c r="F31" s="76">
        <f>'3.mellékletPH.bev.'!E10</f>
        <v>0</v>
      </c>
      <c r="G31" s="76">
        <f>'3.mellékletPH.bev.'!F10</f>
        <v>0</v>
      </c>
      <c r="H31" s="76"/>
      <c r="I31" s="76"/>
      <c r="J31" s="76"/>
      <c r="K31" s="76"/>
      <c r="L31" s="76"/>
      <c r="M31" s="76"/>
      <c r="N31" s="76">
        <f>'3.mellékletPH.bev.'!I10</f>
        <v>6057461</v>
      </c>
      <c r="O31" s="76"/>
      <c r="P31" s="76"/>
      <c r="Q31" s="76"/>
      <c r="R31" s="76"/>
      <c r="S31" s="76"/>
      <c r="T31" s="76"/>
      <c r="U31" s="76"/>
      <c r="V31" s="76"/>
      <c r="W31" s="76">
        <f>'3.mellékletPH.bev.'!R8</f>
        <v>179306</v>
      </c>
      <c r="X31" s="76">
        <f>'3.mellékletPH.bev.'!S8</f>
        <v>197866</v>
      </c>
      <c r="Y31" s="76">
        <f>'3.mellékletPH.bev.'!P8</f>
        <v>107230437</v>
      </c>
      <c r="Z31" s="76">
        <f>'3.mellékletPH.bev.'!Q10</f>
        <v>106148825</v>
      </c>
      <c r="AA31" s="80">
        <f>E31+G31+I31+M31+O31+S31+Y31+W31</f>
        <v>107409743</v>
      </c>
      <c r="AB31" s="80">
        <f>F31+H31+J31+N31+P31+T31+Z31+X31</f>
        <v>112404152</v>
      </c>
      <c r="AC31" s="29"/>
      <c r="AD31" s="29"/>
    </row>
    <row r="32" spans="1:32" s="30" customFormat="1" x14ac:dyDescent="0.25">
      <c r="A32" s="70"/>
      <c r="B32" s="1"/>
      <c r="C32" s="1" t="s">
        <v>82</v>
      </c>
      <c r="D32" s="31" t="s">
        <v>87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>
        <f>'3.mellékletPH.bev.'!P7</f>
        <v>13956185</v>
      </c>
      <c r="Z32" s="76">
        <f>'3.mellékletPH.bev.'!Q7</f>
        <v>13956185</v>
      </c>
      <c r="AA32" s="80">
        <f t="shared" ref="AA32:AA33" si="11">E32+G32+I32+M32+O32+S32+Y32</f>
        <v>13956185</v>
      </c>
      <c r="AB32" s="80">
        <f>F32+H32+J32+N32+P32+T32+Z32+X32</f>
        <v>13956185</v>
      </c>
      <c r="AC32" s="29"/>
      <c r="AD32" s="29"/>
    </row>
    <row r="33" spans="1:30" x14ac:dyDescent="0.25">
      <c r="A33" s="70"/>
      <c r="B33" s="1"/>
      <c r="C33" s="1" t="s">
        <v>121</v>
      </c>
      <c r="D33" s="31" t="s">
        <v>117</v>
      </c>
      <c r="E33" s="76">
        <f>'3.mellékletPH.bev.'!D11</f>
        <v>257750</v>
      </c>
      <c r="F33" s="76">
        <f>'3.mellékletPH.bev.'!E7</f>
        <v>408642</v>
      </c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13"/>
      <c r="AA33" s="80">
        <f t="shared" si="11"/>
        <v>257750</v>
      </c>
      <c r="AB33" s="80">
        <f>F33+H33+J33+N33+P33+T33+Z33+X33</f>
        <v>408642</v>
      </c>
      <c r="AC33" s="29"/>
      <c r="AD33" s="29"/>
    </row>
    <row r="34" spans="1:30" x14ac:dyDescent="0.25">
      <c r="A34" s="70"/>
      <c r="B34" s="1"/>
      <c r="C34" s="27"/>
      <c r="D34" s="28" t="s">
        <v>241</v>
      </c>
      <c r="E34" s="43">
        <f>E35+E36</f>
        <v>352882</v>
      </c>
      <c r="F34" s="43">
        <f t="shared" ref="F34" si="12">F35+F36</f>
        <v>427505</v>
      </c>
      <c r="G34" s="43">
        <f t="shared" ref="G34" si="13">G35+G36</f>
        <v>0</v>
      </c>
      <c r="H34" s="43">
        <f t="shared" ref="H34" si="14">H35+H36</f>
        <v>0</v>
      </c>
      <c r="I34" s="43">
        <f t="shared" ref="I34" si="15">I35+I36</f>
        <v>0</v>
      </c>
      <c r="J34" s="43">
        <f t="shared" ref="J34" si="16">J35+J36</f>
        <v>0</v>
      </c>
      <c r="K34" s="43">
        <f t="shared" ref="K34" si="17">K35+K36</f>
        <v>0</v>
      </c>
      <c r="L34" s="43">
        <f t="shared" ref="L34" si="18">L35+L36</f>
        <v>0</v>
      </c>
      <c r="M34" s="43">
        <f t="shared" ref="M34" si="19">M35+M36</f>
        <v>0</v>
      </c>
      <c r="N34" s="43">
        <f t="shared" ref="N34" si="20">N35+N36</f>
        <v>0</v>
      </c>
      <c r="O34" s="43">
        <f t="shared" ref="O34" si="21">O35+O36</f>
        <v>0</v>
      </c>
      <c r="P34" s="43">
        <f t="shared" ref="P34" si="22">P35+P36</f>
        <v>0</v>
      </c>
      <c r="Q34" s="43">
        <f t="shared" ref="Q34" si="23">Q35+Q36</f>
        <v>0</v>
      </c>
      <c r="R34" s="43">
        <f t="shared" ref="R34" si="24">R35+R36</f>
        <v>0</v>
      </c>
      <c r="S34" s="43">
        <f t="shared" ref="S34" si="25">S35+S36</f>
        <v>0</v>
      </c>
      <c r="T34" s="43">
        <f t="shared" ref="T34" si="26">T35+T36</f>
        <v>0</v>
      </c>
      <c r="U34" s="43">
        <f t="shared" ref="U34" si="27">U35+U36</f>
        <v>0</v>
      </c>
      <c r="V34" s="43">
        <f t="shared" ref="V34" si="28">V35+V36</f>
        <v>0</v>
      </c>
      <c r="W34" s="43">
        <f t="shared" ref="W34" si="29">W35+W36</f>
        <v>1035007</v>
      </c>
      <c r="X34" s="43">
        <f t="shared" ref="X34" si="30">X35+X36</f>
        <v>936497</v>
      </c>
      <c r="Y34" s="43">
        <f t="shared" ref="Y34" si="31">Y35+Y36</f>
        <v>183365842</v>
      </c>
      <c r="Z34" s="43">
        <f t="shared" ref="Z34" si="32">Z35+Z36</f>
        <v>191963493</v>
      </c>
      <c r="AA34" s="43">
        <f t="shared" ref="AA34" si="33">AA35+AA36</f>
        <v>184753731</v>
      </c>
      <c r="AB34" s="43">
        <f t="shared" ref="AB34" si="34">AB35+AB36</f>
        <v>193327495</v>
      </c>
      <c r="AC34" s="29"/>
      <c r="AD34" s="29"/>
    </row>
    <row r="35" spans="1:30" s="30" customFormat="1" x14ac:dyDescent="0.25">
      <c r="A35" s="70"/>
      <c r="B35" s="1"/>
      <c r="C35" s="1" t="s">
        <v>81</v>
      </c>
      <c r="D35" s="31" t="s">
        <v>86</v>
      </c>
      <c r="E35" s="76">
        <f>'5. Óvoda bev'!D15</f>
        <v>352882</v>
      </c>
      <c r="F35" s="76">
        <f>'5. Óvoda bev'!E15</f>
        <v>427505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>
        <f>'5. Óvoda bev'!R15</f>
        <v>1035007</v>
      </c>
      <c r="X35" s="76">
        <f>'5. Óvoda bev'!S7</f>
        <v>936497</v>
      </c>
      <c r="Y35" s="76">
        <f>'5. Óvoda bev'!P7</f>
        <v>183365842</v>
      </c>
      <c r="Z35" s="76">
        <f>'5. Óvoda bev'!Q15</f>
        <v>191963493</v>
      </c>
      <c r="AA35" s="76">
        <f>E35+G35+I35+K35+M35+O35+S35+Y35+W35</f>
        <v>184753731</v>
      </c>
      <c r="AB35" s="76">
        <f>F35+H35+J35+L35+N35+P35+T35+Z35+X35</f>
        <v>193327495</v>
      </c>
      <c r="AC35" s="29"/>
      <c r="AD35" s="29"/>
    </row>
    <row r="36" spans="1:30" x14ac:dyDescent="0.25">
      <c r="A36" s="70"/>
      <c r="B36" s="1"/>
      <c r="C36" s="1" t="s">
        <v>82</v>
      </c>
      <c r="D36" s="31" t="s">
        <v>87</v>
      </c>
      <c r="E36" s="76">
        <f>'5. Óvoda bev'!D16</f>
        <v>0</v>
      </c>
      <c r="F36" s="76">
        <f>'5. Óvoda bev'!E16</f>
        <v>0</v>
      </c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13"/>
      <c r="Z36" s="713"/>
      <c r="AA36" s="76">
        <f>E36+G36+I36+K36+M36+O36+S36+Y36</f>
        <v>0</v>
      </c>
      <c r="AB36" s="76">
        <f>F36+H36+J36+L36+N36+P36+T36+Z36+X36</f>
        <v>0</v>
      </c>
      <c r="AC36" s="29"/>
      <c r="AD36" s="29"/>
    </row>
    <row r="37" spans="1:30" x14ac:dyDescent="0.25">
      <c r="A37" s="70"/>
      <c r="B37" s="1"/>
      <c r="C37" s="27"/>
      <c r="D37" s="28" t="s">
        <v>242</v>
      </c>
      <c r="E37" s="43">
        <f ca="1">E38+E39</f>
        <v>81697314</v>
      </c>
      <c r="F37" s="43">
        <f t="shared" ref="F37:Z37" ca="1" si="35">F38+F39</f>
        <v>85480821</v>
      </c>
      <c r="G37" s="43">
        <f t="shared" si="35"/>
        <v>0</v>
      </c>
      <c r="H37" s="43">
        <f t="shared" si="35"/>
        <v>0</v>
      </c>
      <c r="I37" s="43">
        <f t="shared" si="35"/>
        <v>0</v>
      </c>
      <c r="J37" s="43">
        <f t="shared" si="35"/>
        <v>0</v>
      </c>
      <c r="K37" s="43">
        <f t="shared" si="35"/>
        <v>0</v>
      </c>
      <c r="L37" s="43">
        <f t="shared" si="35"/>
        <v>0</v>
      </c>
      <c r="M37" s="43">
        <f t="shared" si="35"/>
        <v>0</v>
      </c>
      <c r="N37" s="43">
        <f t="shared" si="35"/>
        <v>896736</v>
      </c>
      <c r="O37" s="43">
        <f t="shared" si="35"/>
        <v>0</v>
      </c>
      <c r="P37" s="43">
        <f t="shared" si="35"/>
        <v>0</v>
      </c>
      <c r="Q37" s="43">
        <f t="shared" si="35"/>
        <v>0</v>
      </c>
      <c r="R37" s="43">
        <f t="shared" si="35"/>
        <v>0</v>
      </c>
      <c r="S37" s="43">
        <f t="shared" si="35"/>
        <v>0</v>
      </c>
      <c r="T37" s="43">
        <f t="shared" si="35"/>
        <v>0</v>
      </c>
      <c r="U37" s="43">
        <f t="shared" si="35"/>
        <v>1750000</v>
      </c>
      <c r="V37" s="43">
        <f t="shared" si="35"/>
        <v>2022000</v>
      </c>
      <c r="W37" s="43">
        <f t="shared" ca="1" si="35"/>
        <v>1855656</v>
      </c>
      <c r="X37" s="43">
        <f t="shared" ca="1" si="35"/>
        <v>2030040</v>
      </c>
      <c r="Y37" s="43">
        <f t="shared" ca="1" si="35"/>
        <v>182213404</v>
      </c>
      <c r="Z37" s="43">
        <f t="shared" ca="1" si="35"/>
        <v>214865928</v>
      </c>
      <c r="AA37" s="43">
        <f ca="1">AA38+AA39</f>
        <v>267516374</v>
      </c>
      <c r="AB37" s="43">
        <f ca="1">AB38+AB39</f>
        <v>305295525</v>
      </c>
      <c r="AC37" s="29"/>
      <c r="AD37" s="29"/>
    </row>
    <row r="38" spans="1:30" s="30" customFormat="1" x14ac:dyDescent="0.25">
      <c r="A38" s="70"/>
      <c r="B38" s="1"/>
      <c r="C38" s="1" t="s">
        <v>81</v>
      </c>
      <c r="D38" s="31" t="s">
        <v>86</v>
      </c>
      <c r="E38" s="76">
        <f ca="1">'4 ESZI bev'!D18</f>
        <v>6401560</v>
      </c>
      <c r="F38" s="76">
        <f ca="1">'4 ESZI bev'!E18</f>
        <v>10374573</v>
      </c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>
        <f ca="1">'4 ESZI bev'!R18</f>
        <v>0</v>
      </c>
      <c r="X38" s="76">
        <f ca="1">'4 ESZI bev'!S18</f>
        <v>0</v>
      </c>
      <c r="Y38" s="76">
        <f ca="1">'4 ESZI bev'!P18</f>
        <v>23761378</v>
      </c>
      <c r="Z38" s="76">
        <f ca="1">'4 ESZI bev'!Q18</f>
        <v>24717432</v>
      </c>
      <c r="AA38" s="80">
        <f ca="1">E38+G38+I38+M38+O38+S38+Y38+W38</f>
        <v>30162938</v>
      </c>
      <c r="AB38" s="80">
        <f ca="1">F38+H38+J38+N38+P38+T38+Z38+X38</f>
        <v>35092005</v>
      </c>
      <c r="AC38" s="29"/>
      <c r="AD38" s="29"/>
    </row>
    <row r="39" spans="1:30" x14ac:dyDescent="0.25">
      <c r="A39" s="70"/>
      <c r="B39" s="1"/>
      <c r="C39" s="1" t="s">
        <v>82</v>
      </c>
      <c r="D39" s="31" t="s">
        <v>87</v>
      </c>
      <c r="E39" s="76">
        <f>'4 ESZI bev'!D19</f>
        <v>75295754</v>
      </c>
      <c r="F39" s="76">
        <f>'4 ESZI bev'!E19</f>
        <v>75106248</v>
      </c>
      <c r="G39" s="76"/>
      <c r="H39" s="76"/>
      <c r="I39" s="76"/>
      <c r="J39" s="76"/>
      <c r="K39" s="76"/>
      <c r="L39" s="76"/>
      <c r="M39" s="76"/>
      <c r="N39" s="76">
        <f>'4 ESZI bev'!I16</f>
        <v>896736</v>
      </c>
      <c r="O39" s="76"/>
      <c r="P39" s="76"/>
      <c r="Q39" s="76"/>
      <c r="R39" s="76"/>
      <c r="S39" s="76"/>
      <c r="T39" s="76"/>
      <c r="U39" s="76">
        <f>'4 ESZI bev'!L17</f>
        <v>1750000</v>
      </c>
      <c r="V39" s="76">
        <f>'4 ESZI bev'!M19</f>
        <v>2022000</v>
      </c>
      <c r="W39" s="76">
        <f>'4 ESZI bev'!R17</f>
        <v>1855656</v>
      </c>
      <c r="X39" s="76">
        <f>'4 ESZI bev'!S19</f>
        <v>2030040</v>
      </c>
      <c r="Y39" s="76">
        <f>'4 ESZI bev'!P19</f>
        <v>158452026</v>
      </c>
      <c r="Z39" s="76">
        <f>'4 ESZI bev'!Q19</f>
        <v>190148496</v>
      </c>
      <c r="AA39" s="80">
        <f>E39+G39+I39+M39+O39+S39+Y39+W39+U39</f>
        <v>237353436</v>
      </c>
      <c r="AB39" s="80">
        <f>F39+H39+J39+N39+P39+T39+Z39+X39+V39</f>
        <v>270203520</v>
      </c>
      <c r="AC39" s="29"/>
      <c r="AD39" s="29"/>
    </row>
    <row r="40" spans="1:30" ht="15.75" x14ac:dyDescent="0.25">
      <c r="A40" s="70"/>
      <c r="B40" s="1"/>
      <c r="C40" s="27"/>
      <c r="D40" s="26" t="s">
        <v>88</v>
      </c>
      <c r="E40" s="43">
        <f ca="1">E30+E34+E37+E26</f>
        <v>132633381</v>
      </c>
      <c r="F40" s="43">
        <f t="shared" ref="F40:Y40" ca="1" si="36">F30+F34+F37+F26</f>
        <v>148280512</v>
      </c>
      <c r="G40" s="43">
        <f t="shared" si="36"/>
        <v>106835000</v>
      </c>
      <c r="H40" s="43">
        <f t="shared" si="36"/>
        <v>107781317</v>
      </c>
      <c r="I40" s="43">
        <f t="shared" si="36"/>
        <v>632212121</v>
      </c>
      <c r="J40" s="43">
        <f>J30+J34+J37+J26</f>
        <v>648597855</v>
      </c>
      <c r="K40" s="43">
        <f t="shared" si="36"/>
        <v>20000000</v>
      </c>
      <c r="L40" s="43">
        <f t="shared" si="36"/>
        <v>20000000</v>
      </c>
      <c r="M40" s="43">
        <f t="shared" si="36"/>
        <v>16845700</v>
      </c>
      <c r="N40" s="43">
        <f>N30+N34+N37+N26</f>
        <v>79624123</v>
      </c>
      <c r="O40" s="43">
        <f t="shared" si="36"/>
        <v>0</v>
      </c>
      <c r="P40" s="43">
        <f t="shared" si="36"/>
        <v>736383061</v>
      </c>
      <c r="Q40" s="43">
        <f t="shared" si="36"/>
        <v>10072300</v>
      </c>
      <c r="R40" s="43">
        <f t="shared" si="36"/>
        <v>10072300</v>
      </c>
      <c r="S40" s="43">
        <f t="shared" si="36"/>
        <v>2000000</v>
      </c>
      <c r="T40" s="43">
        <f t="shared" si="36"/>
        <v>2000000</v>
      </c>
      <c r="U40" s="43">
        <f t="shared" si="36"/>
        <v>1750000</v>
      </c>
      <c r="V40" s="43">
        <f t="shared" si="36"/>
        <v>2022000</v>
      </c>
      <c r="W40" s="43">
        <f t="shared" ca="1" si="36"/>
        <v>396748087</v>
      </c>
      <c r="X40" s="43">
        <f t="shared" ca="1" si="36"/>
        <v>396888687</v>
      </c>
      <c r="Y40" s="43">
        <f t="shared" ca="1" si="36"/>
        <v>486765868</v>
      </c>
      <c r="Z40" s="43">
        <f ca="1">Z30+Z34+Z37</f>
        <v>526934431</v>
      </c>
      <c r="AA40" s="43">
        <f ca="1">AA30+AA34+AA37+AA26</f>
        <v>1805862457</v>
      </c>
      <c r="AB40" s="43">
        <f ca="1">AB30+AB34+AB37+AB26</f>
        <v>2706512899</v>
      </c>
      <c r="AC40" s="129"/>
    </row>
    <row r="41" spans="1:30" ht="15.75" x14ac:dyDescent="0.25">
      <c r="A41" s="70"/>
      <c r="B41" s="1"/>
      <c r="C41" s="27"/>
      <c r="D41" s="2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43"/>
      <c r="AC41" s="122"/>
    </row>
    <row r="42" spans="1:30" x14ac:dyDescent="0.25">
      <c r="A42" s="70"/>
      <c r="B42" s="1"/>
      <c r="C42" s="24"/>
      <c r="D42" s="24" t="s">
        <v>89</v>
      </c>
      <c r="E42" s="75">
        <f ca="1">E27+E31+E35+E38</f>
        <v>29357114</v>
      </c>
      <c r="F42" s="75">
        <f t="shared" ref="F42:AB42" ca="1" si="37">F27+F31+F35+F38</f>
        <v>43763831</v>
      </c>
      <c r="G42" s="75">
        <f t="shared" si="37"/>
        <v>106835000</v>
      </c>
      <c r="H42" s="75">
        <f t="shared" si="37"/>
        <v>107781317</v>
      </c>
      <c r="I42" s="75">
        <f t="shared" si="37"/>
        <v>632212121</v>
      </c>
      <c r="J42" s="75">
        <f t="shared" si="37"/>
        <v>648597855</v>
      </c>
      <c r="K42" s="75">
        <f>K27+K31+K35+K38</f>
        <v>20000000</v>
      </c>
      <c r="L42" s="75">
        <f t="shared" si="37"/>
        <v>20000000</v>
      </c>
      <c r="M42" s="75">
        <f t="shared" si="37"/>
        <v>15505700</v>
      </c>
      <c r="N42" s="75">
        <f t="shared" si="37"/>
        <v>25450837</v>
      </c>
      <c r="O42" s="75">
        <f t="shared" si="37"/>
        <v>0</v>
      </c>
      <c r="P42" s="75">
        <f t="shared" si="37"/>
        <v>736383061</v>
      </c>
      <c r="Q42" s="75">
        <f t="shared" si="37"/>
        <v>10072300</v>
      </c>
      <c r="R42" s="75">
        <f t="shared" si="37"/>
        <v>10072300</v>
      </c>
      <c r="S42" s="75">
        <f t="shared" si="37"/>
        <v>2000000</v>
      </c>
      <c r="T42" s="75">
        <f t="shared" si="37"/>
        <v>2000000</v>
      </c>
      <c r="U42" s="75">
        <f t="shared" si="37"/>
        <v>0</v>
      </c>
      <c r="V42" s="75">
        <f t="shared" si="37"/>
        <v>0</v>
      </c>
      <c r="W42" s="75">
        <f t="shared" ca="1" si="37"/>
        <v>394892431</v>
      </c>
      <c r="X42" s="75">
        <f t="shared" ca="1" si="37"/>
        <v>394858647</v>
      </c>
      <c r="Y42" s="75">
        <f t="shared" ca="1" si="37"/>
        <v>314357657</v>
      </c>
      <c r="Z42" s="75">
        <f t="shared" ca="1" si="37"/>
        <v>350758363</v>
      </c>
      <c r="AA42" s="75">
        <f t="shared" ca="1" si="37"/>
        <v>1525232323</v>
      </c>
      <c r="AB42" s="75">
        <f t="shared" ca="1" si="37"/>
        <v>2323666215</v>
      </c>
    </row>
    <row r="43" spans="1:30" s="30" customFormat="1" x14ac:dyDescent="0.25">
      <c r="A43" s="70"/>
      <c r="B43" s="1"/>
      <c r="C43" s="24"/>
      <c r="D43" s="24" t="s">
        <v>90</v>
      </c>
      <c r="E43" s="75">
        <f>E29+E32+E36+E39</f>
        <v>103018517</v>
      </c>
      <c r="F43" s="75">
        <f t="shared" ref="F43:AB43" si="38">F29+F32+F36+F39</f>
        <v>104108039</v>
      </c>
      <c r="G43" s="75">
        <f t="shared" si="38"/>
        <v>0</v>
      </c>
      <c r="H43" s="75">
        <f t="shared" si="38"/>
        <v>0</v>
      </c>
      <c r="I43" s="75">
        <f t="shared" si="38"/>
        <v>0</v>
      </c>
      <c r="J43" s="75">
        <f t="shared" si="38"/>
        <v>0</v>
      </c>
      <c r="K43" s="75">
        <f t="shared" si="38"/>
        <v>0</v>
      </c>
      <c r="L43" s="75">
        <f t="shared" si="38"/>
        <v>0</v>
      </c>
      <c r="M43" s="75">
        <f t="shared" si="38"/>
        <v>1340000</v>
      </c>
      <c r="N43" s="75">
        <f t="shared" si="38"/>
        <v>54173286</v>
      </c>
      <c r="O43" s="75">
        <f t="shared" si="38"/>
        <v>0</v>
      </c>
      <c r="P43" s="75">
        <f t="shared" si="38"/>
        <v>0</v>
      </c>
      <c r="Q43" s="75">
        <f t="shared" si="38"/>
        <v>0</v>
      </c>
      <c r="R43" s="75">
        <f t="shared" si="38"/>
        <v>0</v>
      </c>
      <c r="S43" s="75">
        <f t="shared" si="38"/>
        <v>0</v>
      </c>
      <c r="T43" s="75">
        <f t="shared" si="38"/>
        <v>0</v>
      </c>
      <c r="U43" s="75">
        <f t="shared" si="38"/>
        <v>1750000</v>
      </c>
      <c r="V43" s="75">
        <f t="shared" si="38"/>
        <v>2022000</v>
      </c>
      <c r="W43" s="75">
        <f t="shared" si="38"/>
        <v>1855656</v>
      </c>
      <c r="X43" s="75">
        <f t="shared" si="38"/>
        <v>2030040</v>
      </c>
      <c r="Y43" s="75">
        <f t="shared" si="38"/>
        <v>172408211</v>
      </c>
      <c r="Z43" s="75">
        <f t="shared" si="38"/>
        <v>204104681</v>
      </c>
      <c r="AA43" s="75">
        <f t="shared" si="38"/>
        <v>280372384</v>
      </c>
      <c r="AB43" s="75">
        <f t="shared" si="38"/>
        <v>366438046</v>
      </c>
    </row>
    <row r="44" spans="1:30" x14ac:dyDescent="0.25">
      <c r="A44" s="70"/>
      <c r="B44" s="1"/>
      <c r="C44" s="24"/>
      <c r="D44" s="24" t="s">
        <v>124</v>
      </c>
      <c r="E44" s="75">
        <f>E28</f>
        <v>0</v>
      </c>
      <c r="F44" s="75">
        <f>F33</f>
        <v>408642</v>
      </c>
      <c r="G44" s="75">
        <f t="shared" ref="G44:AA44" si="39">G28</f>
        <v>0</v>
      </c>
      <c r="H44" s="75">
        <f t="shared" si="39"/>
        <v>0</v>
      </c>
      <c r="I44" s="75">
        <f t="shared" si="39"/>
        <v>0</v>
      </c>
      <c r="J44" s="75">
        <f t="shared" si="39"/>
        <v>0</v>
      </c>
      <c r="K44" s="75">
        <f t="shared" si="39"/>
        <v>0</v>
      </c>
      <c r="L44" s="75">
        <f t="shared" si="39"/>
        <v>0</v>
      </c>
      <c r="M44" s="75">
        <f t="shared" si="39"/>
        <v>0</v>
      </c>
      <c r="N44" s="75">
        <f t="shared" si="39"/>
        <v>0</v>
      </c>
      <c r="O44" s="75">
        <f t="shared" si="39"/>
        <v>0</v>
      </c>
      <c r="P44" s="75">
        <f t="shared" si="39"/>
        <v>0</v>
      </c>
      <c r="Q44" s="75">
        <f t="shared" si="39"/>
        <v>0</v>
      </c>
      <c r="R44" s="75">
        <f t="shared" si="39"/>
        <v>0</v>
      </c>
      <c r="S44" s="75">
        <f t="shared" si="39"/>
        <v>0</v>
      </c>
      <c r="T44" s="75">
        <f t="shared" si="39"/>
        <v>0</v>
      </c>
      <c r="U44" s="75">
        <f t="shared" si="39"/>
        <v>0</v>
      </c>
      <c r="V44" s="75">
        <f t="shared" si="39"/>
        <v>0</v>
      </c>
      <c r="W44" s="75">
        <f t="shared" si="39"/>
        <v>0</v>
      </c>
      <c r="X44" s="75">
        <f t="shared" si="39"/>
        <v>0</v>
      </c>
      <c r="Y44" s="75">
        <f t="shared" si="39"/>
        <v>0</v>
      </c>
      <c r="Z44" s="75">
        <f t="shared" si="39"/>
        <v>0</v>
      </c>
      <c r="AA44" s="75">
        <f t="shared" si="39"/>
        <v>0</v>
      </c>
      <c r="AB44" s="75">
        <f>F44+H44+J44+L44+N44+P44+R44+T44+V44+X44+Z44</f>
        <v>408642</v>
      </c>
    </row>
    <row r="45" spans="1:30" x14ac:dyDescent="0.25">
      <c r="A45" s="70"/>
      <c r="B45" s="1"/>
      <c r="C45" s="32"/>
      <c r="D45" s="32" t="s">
        <v>91</v>
      </c>
      <c r="E45" s="78">
        <f ca="1">SUM(E42:E44)</f>
        <v>132375631</v>
      </c>
      <c r="F45" s="78">
        <f t="shared" ref="F45:AA45" ca="1" si="40">SUM(F42:F44)</f>
        <v>148280512</v>
      </c>
      <c r="G45" s="78">
        <f t="shared" si="40"/>
        <v>106835000</v>
      </c>
      <c r="H45" s="78">
        <f t="shared" si="40"/>
        <v>107781317</v>
      </c>
      <c r="I45" s="78">
        <f t="shared" si="40"/>
        <v>632212121</v>
      </c>
      <c r="J45" s="78">
        <f>SUM(J42:J44)</f>
        <v>648597855</v>
      </c>
      <c r="K45" s="78">
        <f t="shared" si="40"/>
        <v>20000000</v>
      </c>
      <c r="L45" s="78">
        <f t="shared" si="40"/>
        <v>20000000</v>
      </c>
      <c r="M45" s="78">
        <f t="shared" si="40"/>
        <v>16845700</v>
      </c>
      <c r="N45" s="78">
        <f t="shared" si="40"/>
        <v>79624123</v>
      </c>
      <c r="O45" s="78">
        <f t="shared" si="40"/>
        <v>0</v>
      </c>
      <c r="P45" s="78">
        <f>SUM(P42:P44)</f>
        <v>736383061</v>
      </c>
      <c r="Q45" s="78">
        <f t="shared" si="40"/>
        <v>10072300</v>
      </c>
      <c r="R45" s="78">
        <f t="shared" si="40"/>
        <v>10072300</v>
      </c>
      <c r="S45" s="78">
        <f t="shared" si="40"/>
        <v>2000000</v>
      </c>
      <c r="T45" s="78">
        <f t="shared" si="40"/>
        <v>2000000</v>
      </c>
      <c r="U45" s="78">
        <f t="shared" si="40"/>
        <v>1750000</v>
      </c>
      <c r="V45" s="78">
        <f t="shared" si="40"/>
        <v>2022000</v>
      </c>
      <c r="W45" s="78">
        <f t="shared" ca="1" si="40"/>
        <v>396748087</v>
      </c>
      <c r="X45" s="78">
        <f t="shared" ca="1" si="40"/>
        <v>396888687</v>
      </c>
      <c r="Y45" s="78">
        <f t="shared" ca="1" si="40"/>
        <v>486765868</v>
      </c>
      <c r="Z45" s="78">
        <f t="shared" ca="1" si="40"/>
        <v>554863044</v>
      </c>
      <c r="AA45" s="78">
        <f t="shared" ca="1" si="40"/>
        <v>1805604707</v>
      </c>
      <c r="AB45" s="78">
        <f ca="1">SUM(AB42:AB44)</f>
        <v>2690512903</v>
      </c>
      <c r="AC45" s="122"/>
    </row>
    <row r="46" spans="1:30" x14ac:dyDescent="0.25">
      <c r="AC46" s="133"/>
    </row>
    <row r="47" spans="1:30" x14ac:dyDescent="0.25">
      <c r="E47" s="122"/>
      <c r="G47" s="133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9"/>
      <c r="Z47" s="122"/>
      <c r="AA47" s="122"/>
      <c r="AB47" s="122"/>
    </row>
    <row r="48" spans="1:30" x14ac:dyDescent="0.25">
      <c r="E48" s="122"/>
      <c r="F48" s="721"/>
      <c r="G48" s="132"/>
      <c r="W48" s="691"/>
      <c r="Y48" s="131"/>
      <c r="AA48" s="122"/>
      <c r="AB48" s="122" t="s">
        <v>103</v>
      </c>
      <c r="AC48" s="122"/>
    </row>
    <row r="49" spans="5:29" x14ac:dyDescent="0.25">
      <c r="E49" s="122"/>
      <c r="AB49" s="122"/>
      <c r="AC49" s="122"/>
    </row>
    <row r="50" spans="5:29" x14ac:dyDescent="0.25">
      <c r="F50" s="122"/>
    </row>
  </sheetData>
  <mergeCells count="25">
    <mergeCell ref="Q5:R5"/>
    <mergeCell ref="Q4:R4"/>
    <mergeCell ref="D3:AB3"/>
    <mergeCell ref="E5:F5"/>
    <mergeCell ref="G5:H5"/>
    <mergeCell ref="I5:J5"/>
    <mergeCell ref="M5:N5"/>
    <mergeCell ref="O5:P5"/>
    <mergeCell ref="S5:T5"/>
    <mergeCell ref="Y5:Z5"/>
    <mergeCell ref="AA5:AB5"/>
    <mergeCell ref="K5:L5"/>
    <mergeCell ref="W5:X5"/>
    <mergeCell ref="U5:V5"/>
    <mergeCell ref="E4:F4"/>
    <mergeCell ref="G4:H4"/>
    <mergeCell ref="I4:J4"/>
    <mergeCell ref="W4:X4"/>
    <mergeCell ref="Y4:Z4"/>
    <mergeCell ref="AA4:AB4"/>
    <mergeCell ref="K4:L4"/>
    <mergeCell ref="M4:N4"/>
    <mergeCell ref="O4:P4"/>
    <mergeCell ref="S4:T4"/>
    <mergeCell ref="U4:V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0" fitToHeight="2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AW57"/>
  <sheetViews>
    <sheetView topLeftCell="A4" zoomScaleNormal="100" workbookViewId="0">
      <selection activeCell="I10" sqref="I10"/>
    </sheetView>
  </sheetViews>
  <sheetFormatPr defaultColWidth="9.140625" defaultRowHeight="15" x14ac:dyDescent="0.25"/>
  <cols>
    <col min="1" max="1" width="4.7109375" style="484" customWidth="1"/>
    <col min="2" max="2" width="34.85546875" style="516" customWidth="1"/>
    <col min="3" max="3" width="6.28515625" style="484" customWidth="1"/>
    <col min="4" max="4" width="12" style="510" customWidth="1"/>
    <col min="5" max="6" width="12.140625" style="510" customWidth="1"/>
    <col min="7" max="7" width="12.28515625" style="510" customWidth="1"/>
    <col min="8" max="8" width="9.140625" style="484"/>
    <col min="9" max="9" width="34" style="484" customWidth="1"/>
    <col min="10" max="10" width="11.7109375" style="484" customWidth="1"/>
    <col min="11" max="16384" width="9.140625" style="484"/>
  </cols>
  <sheetData>
    <row r="1" spans="1:49" s="201" customFormat="1" ht="27.75" customHeight="1" x14ac:dyDescent="0.2">
      <c r="A1" s="787"/>
      <c r="B1" s="788"/>
      <c r="C1" s="788"/>
      <c r="D1" s="788"/>
      <c r="E1" s="788"/>
      <c r="F1" s="788"/>
      <c r="G1" s="788"/>
      <c r="H1" s="199"/>
      <c r="I1" s="199"/>
      <c r="J1" s="199"/>
      <c r="K1" s="199"/>
      <c r="L1" s="199"/>
      <c r="M1" s="199"/>
      <c r="N1" s="199"/>
      <c r="O1" s="324"/>
      <c r="P1" s="324"/>
      <c r="Q1" s="324"/>
      <c r="R1" s="324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</row>
    <row r="2" spans="1:49" s="201" customFormat="1" ht="12" x14ac:dyDescent="0.2">
      <c r="A2" s="202"/>
      <c r="B2" s="203"/>
      <c r="C2" s="203"/>
      <c r="D2" s="203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</row>
    <row r="3" spans="1:49" s="201" customFormat="1" ht="28.5" customHeight="1" x14ac:dyDescent="0.2">
      <c r="A3" s="793"/>
      <c r="B3" s="794"/>
      <c r="C3" s="794"/>
      <c r="D3" s="794"/>
      <c r="E3" s="794"/>
      <c r="F3" s="794"/>
      <c r="G3" s="794"/>
      <c r="H3" s="199"/>
      <c r="I3" s="199"/>
      <c r="J3" s="199"/>
      <c r="K3" s="199"/>
      <c r="L3" s="199"/>
      <c r="M3" s="199"/>
      <c r="N3" s="199"/>
      <c r="O3" s="324"/>
      <c r="P3" s="324"/>
      <c r="Q3" s="324"/>
      <c r="R3" s="324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</row>
    <row r="4" spans="1:49" s="201" customFormat="1" ht="31.5" customHeight="1" x14ac:dyDescent="0.2">
      <c r="A4" s="206"/>
      <c r="B4" s="807" t="s">
        <v>523</v>
      </c>
      <c r="C4" s="807"/>
      <c r="D4" s="807"/>
      <c r="E4" s="807"/>
      <c r="F4" s="807"/>
      <c r="G4" s="807"/>
      <c r="H4" s="328"/>
      <c r="I4" s="328"/>
      <c r="J4" s="329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</row>
    <row r="5" spans="1:49" s="201" customFormat="1" ht="6.75" customHeight="1" x14ac:dyDescent="0.2">
      <c r="A5" s="607"/>
      <c r="B5" s="608"/>
      <c r="C5" s="608"/>
      <c r="D5" s="608"/>
      <c r="E5" s="609"/>
      <c r="F5" s="609"/>
      <c r="G5" s="609"/>
      <c r="H5" s="326"/>
      <c r="I5" s="326"/>
      <c r="J5" s="326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</row>
    <row r="6" spans="1:49" s="201" customFormat="1" ht="22.5" customHeight="1" x14ac:dyDescent="0.25">
      <c r="A6" s="800" t="s">
        <v>353</v>
      </c>
      <c r="B6" s="801"/>
      <c r="C6" s="801"/>
      <c r="D6" s="801"/>
      <c r="E6" s="801"/>
      <c r="F6" s="801"/>
      <c r="G6" s="801"/>
      <c r="H6" s="210"/>
      <c r="I6" s="210"/>
      <c r="J6" s="210"/>
      <c r="K6" s="210"/>
      <c r="L6" s="210"/>
      <c r="M6" s="210"/>
      <c r="N6" s="210"/>
      <c r="O6" s="331"/>
      <c r="P6" s="331"/>
      <c r="Q6" s="331"/>
      <c r="R6" s="331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</row>
    <row r="7" spans="1:49" s="201" customFormat="1" ht="15.75" customHeight="1" thickBot="1" x14ac:dyDescent="0.25">
      <c r="A7" s="799" t="s">
        <v>426</v>
      </c>
      <c r="B7" s="799"/>
      <c r="C7" s="799"/>
      <c r="D7" s="799"/>
      <c r="E7" s="799"/>
      <c r="F7" s="799"/>
      <c r="G7" s="799"/>
      <c r="H7" s="200"/>
      <c r="I7" s="200"/>
      <c r="J7" s="200"/>
      <c r="K7" s="200"/>
      <c r="L7" s="200"/>
      <c r="M7" s="200"/>
      <c r="N7" s="200"/>
      <c r="O7" s="324"/>
      <c r="P7" s="324"/>
      <c r="Q7" s="324"/>
      <c r="R7" s="324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</row>
    <row r="8" spans="1:49" ht="30" x14ac:dyDescent="0.25">
      <c r="A8" s="480"/>
      <c r="B8" s="481"/>
      <c r="C8" s="482" t="s">
        <v>354</v>
      </c>
      <c r="D8" s="482" t="s">
        <v>524</v>
      </c>
      <c r="E8" s="482" t="s">
        <v>355</v>
      </c>
      <c r="F8" s="482" t="s">
        <v>441</v>
      </c>
      <c r="G8" s="483" t="s">
        <v>525</v>
      </c>
    </row>
    <row r="9" spans="1:49" x14ac:dyDescent="0.25">
      <c r="A9" s="485" t="s">
        <v>356</v>
      </c>
      <c r="B9" s="486"/>
      <c r="C9" s="486"/>
      <c r="D9" s="487"/>
      <c r="E9" s="487"/>
      <c r="F9" s="487"/>
      <c r="G9" s="488"/>
      <c r="J9" s="489"/>
    </row>
    <row r="10" spans="1:49" x14ac:dyDescent="0.25">
      <c r="A10" s="490" t="s">
        <v>1</v>
      </c>
      <c r="B10" s="491" t="s">
        <v>62</v>
      </c>
      <c r="C10" s="492" t="s">
        <v>357</v>
      </c>
      <c r="D10" s="600">
        <f>'1.melléklet.Önkormányzat'!C24</f>
        <v>106835000</v>
      </c>
      <c r="E10" s="600">
        <f>(D10*1.05)</f>
        <v>112176750</v>
      </c>
      <c r="F10" s="600">
        <f>(E10*1.05)</f>
        <v>117785587.5</v>
      </c>
      <c r="G10" s="223">
        <f>F10*1.05</f>
        <v>123674866.875</v>
      </c>
      <c r="J10" s="493"/>
    </row>
    <row r="11" spans="1:49" x14ac:dyDescent="0.25">
      <c r="A11" s="490" t="s">
        <v>3</v>
      </c>
      <c r="B11" s="491" t="s">
        <v>304</v>
      </c>
      <c r="C11" s="492" t="s">
        <v>358</v>
      </c>
      <c r="D11" s="600">
        <f ca="1">'1.melléklet.Önkormányzat'!C30</f>
        <v>132633381</v>
      </c>
      <c r="E11" s="600">
        <f t="shared" ref="E11:F19" ca="1" si="0">(D11*1.05)</f>
        <v>139265050.05000001</v>
      </c>
      <c r="F11" s="600">
        <f t="shared" ca="1" si="0"/>
        <v>146228302.55250001</v>
      </c>
      <c r="G11" s="223">
        <f t="shared" ref="G11:G34" ca="1" si="1">F11*1.05</f>
        <v>153539717.68012503</v>
      </c>
      <c r="J11" s="493"/>
    </row>
    <row r="12" spans="1:49" ht="23.25" customHeight="1" x14ac:dyDescent="0.25">
      <c r="A12" s="490" t="s">
        <v>4</v>
      </c>
      <c r="B12" s="491" t="s">
        <v>305</v>
      </c>
      <c r="C12" s="492" t="s">
        <v>359</v>
      </c>
      <c r="D12" s="600">
        <f>'1.melléklet.Önkormányzat'!C32</f>
        <v>1750000</v>
      </c>
      <c r="E12" s="600">
        <f t="shared" si="0"/>
        <v>1837500</v>
      </c>
      <c r="F12" s="600">
        <f t="shared" si="0"/>
        <v>1929375</v>
      </c>
      <c r="G12" s="223">
        <f t="shared" si="1"/>
        <v>2025843.75</v>
      </c>
      <c r="J12" s="493"/>
    </row>
    <row r="13" spans="1:49" ht="24" x14ac:dyDescent="0.25">
      <c r="A13" s="490" t="s">
        <v>5</v>
      </c>
      <c r="B13" s="491" t="s">
        <v>76</v>
      </c>
      <c r="C13" s="492" t="s">
        <v>442</v>
      </c>
      <c r="D13" s="600">
        <f>'1.melléklet.Önkormányzat'!C8+'1.melléklet.Önkormányzat'!C16</f>
        <v>649057821</v>
      </c>
      <c r="E13" s="600">
        <f t="shared" si="0"/>
        <v>681510712.05000007</v>
      </c>
      <c r="F13" s="600">
        <f t="shared" si="0"/>
        <v>715586247.65250015</v>
      </c>
      <c r="G13" s="223">
        <f t="shared" si="1"/>
        <v>751365560.03512514</v>
      </c>
      <c r="J13" s="493"/>
    </row>
    <row r="14" spans="1:49" x14ac:dyDescent="0.25">
      <c r="A14" s="490" t="s">
        <v>7</v>
      </c>
      <c r="B14" s="491" t="s">
        <v>19</v>
      </c>
      <c r="C14" s="492" t="s">
        <v>360</v>
      </c>
      <c r="D14" s="600"/>
      <c r="E14" s="600">
        <f t="shared" si="0"/>
        <v>0</v>
      </c>
      <c r="F14" s="600">
        <f t="shared" si="0"/>
        <v>0</v>
      </c>
      <c r="G14" s="223">
        <f t="shared" si="1"/>
        <v>0</v>
      </c>
      <c r="J14" s="493"/>
    </row>
    <row r="15" spans="1:49" ht="24" x14ac:dyDescent="0.25">
      <c r="A15" s="490" t="s">
        <v>18</v>
      </c>
      <c r="B15" s="491" t="s">
        <v>548</v>
      </c>
      <c r="C15" s="492" t="s">
        <v>361</v>
      </c>
      <c r="D15" s="600">
        <f>'1.melléklet.Önkormányzat'!C40</f>
        <v>2000000</v>
      </c>
      <c r="E15" s="600">
        <f t="shared" si="0"/>
        <v>2100000</v>
      </c>
      <c r="F15" s="600">
        <f t="shared" si="0"/>
        <v>2205000</v>
      </c>
      <c r="G15" s="223">
        <f t="shared" si="1"/>
        <v>2315250</v>
      </c>
      <c r="J15" s="493"/>
    </row>
    <row r="16" spans="1:49" ht="24" x14ac:dyDescent="0.25">
      <c r="A16" s="490" t="s">
        <v>20</v>
      </c>
      <c r="B16" s="491" t="s">
        <v>77</v>
      </c>
      <c r="C16" s="492" t="s">
        <v>362</v>
      </c>
      <c r="D16" s="600">
        <f>'1.melléklet.Önkormányzat'!C21</f>
        <v>20000000</v>
      </c>
      <c r="E16" s="600">
        <f t="shared" si="0"/>
        <v>21000000</v>
      </c>
      <c r="F16" s="600">
        <f t="shared" si="0"/>
        <v>22050000</v>
      </c>
      <c r="G16" s="223">
        <f t="shared" si="1"/>
        <v>23152500</v>
      </c>
      <c r="J16" s="493"/>
    </row>
    <row r="17" spans="1:10" x14ac:dyDescent="0.25">
      <c r="A17" s="490" t="s">
        <v>21</v>
      </c>
      <c r="B17" s="491" t="s">
        <v>133</v>
      </c>
      <c r="C17" s="492" t="s">
        <v>363</v>
      </c>
      <c r="D17" s="600">
        <f ca="1">'1.melléklet.Önkormányzat'!C36</f>
        <v>396748087</v>
      </c>
      <c r="E17" s="600">
        <f t="shared" ca="1" si="0"/>
        <v>416585491.35000002</v>
      </c>
      <c r="F17" s="600">
        <f t="shared" ca="1" si="0"/>
        <v>437414765.91750002</v>
      </c>
      <c r="G17" s="223">
        <f t="shared" ca="1" si="1"/>
        <v>459285504.21337503</v>
      </c>
      <c r="J17" s="493"/>
    </row>
    <row r="18" spans="1:10" x14ac:dyDescent="0.25">
      <c r="A18" s="490" t="s">
        <v>25</v>
      </c>
      <c r="B18" s="491" t="s">
        <v>547</v>
      </c>
      <c r="C18" s="492" t="s">
        <v>361</v>
      </c>
      <c r="D18" s="600">
        <f>'1.melléklet.Önkormányzat'!C22</f>
        <v>10072300</v>
      </c>
      <c r="E18" s="600">
        <f t="shared" si="0"/>
        <v>10575915</v>
      </c>
      <c r="F18" s="600">
        <f t="shared" si="0"/>
        <v>11104710.75</v>
      </c>
      <c r="G18" s="223">
        <f t="shared" si="1"/>
        <v>11659946.2875</v>
      </c>
      <c r="J18" s="493"/>
    </row>
    <row r="19" spans="1:10" ht="24" x14ac:dyDescent="0.25">
      <c r="A19" s="490" t="s">
        <v>27</v>
      </c>
      <c r="B19" s="491" t="s">
        <v>364</v>
      </c>
      <c r="C19" s="492" t="s">
        <v>365</v>
      </c>
      <c r="D19" s="600"/>
      <c r="E19" s="600">
        <f t="shared" si="0"/>
        <v>0</v>
      </c>
      <c r="F19" s="600">
        <f t="shared" si="0"/>
        <v>0</v>
      </c>
      <c r="G19" s="223">
        <f t="shared" si="1"/>
        <v>0</v>
      </c>
      <c r="J19" s="493"/>
    </row>
    <row r="20" spans="1:10" x14ac:dyDescent="0.25">
      <c r="A20" s="490"/>
      <c r="B20" s="494" t="s">
        <v>366</v>
      </c>
      <c r="C20" s="495"/>
      <c r="D20" s="601">
        <f ca="1">SUM(D10:D19)</f>
        <v>1319096589</v>
      </c>
      <c r="E20" s="601">
        <f ca="1">SUM(E10:E19)</f>
        <v>1385051418.4500003</v>
      </c>
      <c r="F20" s="601">
        <f ca="1">SUM(F10:F19)</f>
        <v>1454303989.3725002</v>
      </c>
      <c r="G20" s="302">
        <f t="shared" ca="1" si="1"/>
        <v>1527019188.8411252</v>
      </c>
      <c r="J20" s="496"/>
    </row>
    <row r="21" spans="1:10" x14ac:dyDescent="0.25">
      <c r="A21" s="490"/>
      <c r="B21" s="497"/>
      <c r="C21" s="498"/>
      <c r="D21" s="220"/>
      <c r="E21" s="220"/>
      <c r="F21" s="220"/>
      <c r="G21" s="223"/>
    </row>
    <row r="22" spans="1:10" x14ac:dyDescent="0.25">
      <c r="A22" s="490"/>
      <c r="B22" s="486"/>
      <c r="C22" s="486"/>
      <c r="D22" s="220"/>
      <c r="E22" s="220"/>
      <c r="F22" s="220"/>
      <c r="G22" s="223"/>
    </row>
    <row r="23" spans="1:10" x14ac:dyDescent="0.25">
      <c r="A23" s="490" t="s">
        <v>28</v>
      </c>
      <c r="B23" s="499" t="s">
        <v>40</v>
      </c>
      <c r="C23" s="492" t="s">
        <v>367</v>
      </c>
      <c r="D23" s="220">
        <f>'1.melléklet.Önkormányzat'!C50</f>
        <v>430834713</v>
      </c>
      <c r="E23" s="220">
        <f t="shared" ref="E23:F33" si="2">(D23*1.05)</f>
        <v>452376448.65000004</v>
      </c>
      <c r="F23" s="220">
        <f t="shared" si="2"/>
        <v>474995271.08250004</v>
      </c>
      <c r="G23" s="223">
        <f t="shared" si="1"/>
        <v>498745034.63662505</v>
      </c>
    </row>
    <row r="24" spans="1:10" ht="24.75" x14ac:dyDescent="0.25">
      <c r="A24" s="490" t="s">
        <v>31</v>
      </c>
      <c r="B24" s="492" t="s">
        <v>307</v>
      </c>
      <c r="C24" s="492" t="s">
        <v>368</v>
      </c>
      <c r="D24" s="220">
        <f>'1.melléklet.Önkormányzat'!C51</f>
        <v>56758396</v>
      </c>
      <c r="E24" s="220">
        <f t="shared" si="2"/>
        <v>59596315.800000004</v>
      </c>
      <c r="F24" s="220">
        <f t="shared" si="2"/>
        <v>62576131.590000011</v>
      </c>
      <c r="G24" s="223">
        <f t="shared" si="1"/>
        <v>65704938.169500016</v>
      </c>
    </row>
    <row r="25" spans="1:10" x14ac:dyDescent="0.25">
      <c r="A25" s="490" t="s">
        <v>33</v>
      </c>
      <c r="B25" s="499" t="s">
        <v>41</v>
      </c>
      <c r="C25" s="492" t="s">
        <v>369</v>
      </c>
      <c r="D25" s="220">
        <f>'1.melléklet.Önkormányzat'!C52</f>
        <v>283781140</v>
      </c>
      <c r="E25" s="220">
        <f t="shared" si="2"/>
        <v>297970197</v>
      </c>
      <c r="F25" s="220">
        <f t="shared" si="2"/>
        <v>312868706.85000002</v>
      </c>
      <c r="G25" s="223">
        <f t="shared" si="1"/>
        <v>328512142.19250005</v>
      </c>
    </row>
    <row r="26" spans="1:10" x14ac:dyDescent="0.25">
      <c r="A26" s="490" t="s">
        <v>61</v>
      </c>
      <c r="B26" s="499" t="s">
        <v>42</v>
      </c>
      <c r="C26" s="492" t="s">
        <v>370</v>
      </c>
      <c r="D26" s="220">
        <f>'1.melléklet.Önkormányzat'!C53</f>
        <v>29231066</v>
      </c>
      <c r="E26" s="220">
        <f t="shared" si="2"/>
        <v>30692619.300000001</v>
      </c>
      <c r="F26" s="220">
        <f t="shared" si="2"/>
        <v>32227250.265000001</v>
      </c>
      <c r="G26" s="223">
        <f t="shared" si="1"/>
        <v>33838612.778250001</v>
      </c>
    </row>
    <row r="27" spans="1:10" x14ac:dyDescent="0.25">
      <c r="A27" s="490" t="s">
        <v>35</v>
      </c>
      <c r="B27" s="499" t="s">
        <v>43</v>
      </c>
      <c r="C27" s="492" t="s">
        <v>371</v>
      </c>
      <c r="D27" s="220">
        <f>'1.melléklet.Önkormányzat'!C54</f>
        <v>40514410</v>
      </c>
      <c r="E27" s="220">
        <f t="shared" si="2"/>
        <v>42540130.5</v>
      </c>
      <c r="F27" s="220">
        <f t="shared" si="2"/>
        <v>44667137.024999999</v>
      </c>
      <c r="G27" s="223">
        <f t="shared" si="1"/>
        <v>46900493.876249999</v>
      </c>
    </row>
    <row r="28" spans="1:10" x14ac:dyDescent="0.25">
      <c r="A28" s="490" t="s">
        <v>37</v>
      </c>
      <c r="B28" s="499" t="s">
        <v>46</v>
      </c>
      <c r="C28" s="492" t="s">
        <v>372</v>
      </c>
      <c r="D28" s="220">
        <f>'1.melléklet.Önkormányzat'!C59</f>
        <v>222480465</v>
      </c>
      <c r="E28" s="220">
        <f t="shared" si="2"/>
        <v>233604488.25</v>
      </c>
      <c r="F28" s="220">
        <f t="shared" si="2"/>
        <v>245284712.66250002</v>
      </c>
      <c r="G28" s="223">
        <f t="shared" si="1"/>
        <v>257548948.29562503</v>
      </c>
    </row>
    <row r="29" spans="1:10" x14ac:dyDescent="0.25">
      <c r="A29" s="490" t="s">
        <v>136</v>
      </c>
      <c r="B29" s="499" t="s">
        <v>47</v>
      </c>
      <c r="C29" s="492" t="s">
        <v>373</v>
      </c>
      <c r="D29" s="220">
        <f>'1.melléklet.Önkormányzat'!C61</f>
        <v>85862019</v>
      </c>
      <c r="E29" s="220">
        <f t="shared" si="2"/>
        <v>90155119.950000003</v>
      </c>
      <c r="F29" s="220">
        <f t="shared" si="2"/>
        <v>94662875.947500005</v>
      </c>
      <c r="G29" s="223">
        <f t="shared" si="1"/>
        <v>99396019.744875014</v>
      </c>
    </row>
    <row r="30" spans="1:10" x14ac:dyDescent="0.25">
      <c r="A30" s="490" t="s">
        <v>137</v>
      </c>
      <c r="B30" s="499" t="s">
        <v>293</v>
      </c>
      <c r="C30" s="492" t="s">
        <v>374</v>
      </c>
      <c r="D30" s="220">
        <f>'1.melléklet.Önkormányzat'!C65</f>
        <v>5000000</v>
      </c>
      <c r="E30" s="220">
        <f t="shared" si="2"/>
        <v>5250000</v>
      </c>
      <c r="F30" s="220">
        <f t="shared" si="2"/>
        <v>5512500</v>
      </c>
      <c r="G30" s="223">
        <f t="shared" si="1"/>
        <v>5788125</v>
      </c>
    </row>
    <row r="31" spans="1:10" x14ac:dyDescent="0.25">
      <c r="A31" s="490" t="s">
        <v>138</v>
      </c>
      <c r="B31" s="499" t="s">
        <v>342</v>
      </c>
      <c r="C31" s="500" t="s">
        <v>375</v>
      </c>
      <c r="D31" s="220"/>
      <c r="E31" s="220"/>
      <c r="F31" s="220"/>
      <c r="G31" s="223"/>
    </row>
    <row r="32" spans="1:10" x14ac:dyDescent="0.25">
      <c r="A32" s="490" t="s">
        <v>140</v>
      </c>
      <c r="B32" s="501" t="s">
        <v>44</v>
      </c>
      <c r="C32" s="498" t="s">
        <v>376</v>
      </c>
      <c r="D32" s="220">
        <f>'1.melléklet.Önkormányzat'!C55</f>
        <v>142901586</v>
      </c>
      <c r="E32" s="220">
        <f t="shared" si="2"/>
        <v>150046665.30000001</v>
      </c>
      <c r="F32" s="220">
        <f t="shared" si="2"/>
        <v>157548998.56500003</v>
      </c>
      <c r="G32" s="223">
        <f t="shared" si="1"/>
        <v>165426448.49325004</v>
      </c>
    </row>
    <row r="33" spans="1:7" x14ac:dyDescent="0.25">
      <c r="A33" s="490" t="s">
        <v>141</v>
      </c>
      <c r="B33" s="502" t="s">
        <v>377</v>
      </c>
      <c r="C33" s="503" t="s">
        <v>378</v>
      </c>
      <c r="D33" s="220">
        <f>'1.melléklet.Önkormányzat'!C68</f>
        <v>21732794</v>
      </c>
      <c r="E33" s="220">
        <f>(D33*1.05)</f>
        <v>22819433.699999999</v>
      </c>
      <c r="F33" s="220">
        <f t="shared" si="2"/>
        <v>23960405.385000002</v>
      </c>
      <c r="G33" s="223">
        <f t="shared" si="1"/>
        <v>25158425.654250003</v>
      </c>
    </row>
    <row r="34" spans="1:7" ht="15.75" thickBot="1" x14ac:dyDescent="0.3">
      <c r="A34" s="504"/>
      <c r="B34" s="505" t="s">
        <v>112</v>
      </c>
      <c r="C34" s="506"/>
      <c r="D34" s="602">
        <f>SUM(D23:D33)</f>
        <v>1319096589</v>
      </c>
      <c r="E34" s="602">
        <f>SUM(E23:E33)</f>
        <v>1385051418.45</v>
      </c>
      <c r="F34" s="602">
        <f>SUM(F23:F33)</f>
        <v>1454303989.3724999</v>
      </c>
      <c r="G34" s="603">
        <f t="shared" si="1"/>
        <v>1527019188.841125</v>
      </c>
    </row>
    <row r="35" spans="1:7" x14ac:dyDescent="0.25">
      <c r="A35" s="507"/>
      <c r="B35" s="508"/>
      <c r="C35" s="507"/>
      <c r="D35" s="507"/>
      <c r="E35" s="507"/>
      <c r="F35" s="507"/>
      <c r="G35" s="507"/>
    </row>
    <row r="41" spans="1:7" x14ac:dyDescent="0.25">
      <c r="B41" s="326"/>
      <c r="C41" s="509"/>
    </row>
    <row r="42" spans="1:7" x14ac:dyDescent="0.25">
      <c r="B42" s="326"/>
      <c r="C42" s="509"/>
    </row>
    <row r="43" spans="1:7" x14ac:dyDescent="0.25">
      <c r="B43" s="326"/>
      <c r="C43" s="509"/>
    </row>
    <row r="44" spans="1:7" x14ac:dyDescent="0.25">
      <c r="B44" s="326"/>
      <c r="C44" s="509"/>
    </row>
    <row r="45" spans="1:7" x14ac:dyDescent="0.25">
      <c r="B45" s="326"/>
      <c r="C45" s="509"/>
    </row>
    <row r="46" spans="1:7" x14ac:dyDescent="0.25">
      <c r="B46" s="326"/>
      <c r="C46" s="511"/>
    </row>
    <row r="47" spans="1:7" x14ac:dyDescent="0.25">
      <c r="B47" s="512"/>
      <c r="C47" s="513"/>
    </row>
    <row r="48" spans="1:7" x14ac:dyDescent="0.25">
      <c r="B48" s="326"/>
      <c r="C48" s="509"/>
    </row>
    <row r="49" spans="2:3" x14ac:dyDescent="0.25">
      <c r="B49" s="326"/>
      <c r="C49" s="509"/>
    </row>
    <row r="50" spans="2:3" x14ac:dyDescent="0.25">
      <c r="B50" s="326"/>
      <c r="C50" s="509"/>
    </row>
    <row r="51" spans="2:3" x14ac:dyDescent="0.25">
      <c r="B51" s="326"/>
      <c r="C51" s="509"/>
    </row>
    <row r="52" spans="2:3" x14ac:dyDescent="0.25">
      <c r="B52" s="326"/>
      <c r="C52" s="509"/>
    </row>
    <row r="53" spans="2:3" x14ac:dyDescent="0.25">
      <c r="B53" s="512"/>
      <c r="C53" s="509"/>
    </row>
    <row r="54" spans="2:3" x14ac:dyDescent="0.25">
      <c r="B54" s="326"/>
      <c r="C54" s="514"/>
    </row>
    <row r="55" spans="2:3" x14ac:dyDescent="0.25">
      <c r="B55" s="326"/>
      <c r="C55" s="509"/>
    </row>
    <row r="56" spans="2:3" x14ac:dyDescent="0.25">
      <c r="B56" s="326"/>
      <c r="C56" s="509"/>
    </row>
    <row r="57" spans="2:3" x14ac:dyDescent="0.25">
      <c r="B57" s="326"/>
      <c r="C57" s="515"/>
    </row>
  </sheetData>
  <mergeCells count="5">
    <mergeCell ref="A1:G1"/>
    <mergeCell ref="A3:G3"/>
    <mergeCell ref="A6:G6"/>
    <mergeCell ref="A7:G7"/>
    <mergeCell ref="B4:G4"/>
  </mergeCells>
  <printOptions horizontalCentered="1"/>
  <pageMargins left="0.35433070866141736" right="0.35433070866141736" top="0.19685039370078741" bottom="0.98425196850393704" header="0.74803149606299213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AX22"/>
  <sheetViews>
    <sheetView zoomScaleNormal="100" workbookViewId="0">
      <selection activeCell="C13" sqref="C13"/>
    </sheetView>
  </sheetViews>
  <sheetFormatPr defaultColWidth="9.140625" defaultRowHeight="12.75" x14ac:dyDescent="0.2"/>
  <cols>
    <col min="1" max="1" width="6.7109375" style="466" customWidth="1"/>
    <col min="2" max="2" width="52.85546875" style="466" customWidth="1"/>
    <col min="3" max="4" width="12.85546875" style="466" customWidth="1"/>
    <col min="5" max="5" width="12.28515625" style="466" customWidth="1"/>
    <col min="6" max="6" width="12.7109375" style="466" customWidth="1"/>
    <col min="7" max="16384" width="9.140625" style="466"/>
  </cols>
  <sheetData>
    <row r="1" spans="1:50" x14ac:dyDescent="0.2">
      <c r="A1" s="202"/>
      <c r="C1" s="466" t="s">
        <v>545</v>
      </c>
    </row>
    <row r="3" spans="1:50" s="201" customFormat="1" ht="41.25" customHeight="1" x14ac:dyDescent="0.25">
      <c r="A3" s="810" t="s">
        <v>379</v>
      </c>
      <c r="B3" s="811"/>
      <c r="C3" s="811"/>
      <c r="D3" s="811"/>
      <c r="E3" s="811"/>
      <c r="F3" s="812"/>
      <c r="G3" s="517"/>
      <c r="H3" s="517"/>
      <c r="I3" s="210"/>
      <c r="J3" s="210"/>
      <c r="K3" s="210"/>
      <c r="L3" s="210"/>
      <c r="M3" s="210"/>
      <c r="N3" s="210"/>
      <c r="O3" s="210"/>
      <c r="P3" s="331"/>
      <c r="Q3" s="331"/>
      <c r="R3" s="331"/>
      <c r="S3" s="331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</row>
    <row r="4" spans="1:50" s="201" customFormat="1" ht="22.5" customHeight="1" thickBot="1" x14ac:dyDescent="0.25">
      <c r="B4" s="799" t="s">
        <v>429</v>
      </c>
      <c r="C4" s="799"/>
      <c r="D4" s="799"/>
      <c r="E4" s="799"/>
      <c r="F4" s="799"/>
      <c r="G4" s="200"/>
      <c r="H4" s="200"/>
      <c r="I4" s="200"/>
      <c r="J4" s="200"/>
      <c r="K4" s="200"/>
      <c r="L4" s="200"/>
      <c r="M4" s="200"/>
      <c r="N4" s="200"/>
      <c r="O4" s="200"/>
      <c r="P4" s="324"/>
      <c r="Q4" s="324"/>
      <c r="R4" s="324"/>
      <c r="S4" s="324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</row>
    <row r="5" spans="1:50" ht="15" x14ac:dyDescent="0.2">
      <c r="A5" s="636"/>
      <c r="B5" s="587"/>
      <c r="C5" s="534" t="s">
        <v>380</v>
      </c>
      <c r="D5" s="534"/>
      <c r="E5" s="534"/>
      <c r="F5" s="535"/>
    </row>
    <row r="6" spans="1:50" ht="25.5" customHeight="1" x14ac:dyDescent="0.2">
      <c r="A6" s="637" t="s">
        <v>191</v>
      </c>
      <c r="B6" s="585"/>
      <c r="C6" s="536">
        <v>2022</v>
      </c>
      <c r="D6" s="536">
        <v>2023</v>
      </c>
      <c r="E6" s="536">
        <v>2024</v>
      </c>
      <c r="F6" s="537">
        <v>2025</v>
      </c>
      <c r="H6" s="711"/>
    </row>
    <row r="7" spans="1:50" ht="26.25" customHeight="1" x14ac:dyDescent="0.2">
      <c r="A7" s="638" t="s">
        <v>57</v>
      </c>
      <c r="B7" s="583" t="s">
        <v>65</v>
      </c>
      <c r="C7" s="581" t="s">
        <v>58</v>
      </c>
      <c r="D7" s="581" t="s">
        <v>59</v>
      </c>
      <c r="E7" s="581" t="s">
        <v>60</v>
      </c>
      <c r="F7" s="582" t="s">
        <v>67</v>
      </c>
    </row>
    <row r="8" spans="1:50" ht="15" x14ac:dyDescent="0.2">
      <c r="A8" s="598"/>
      <c r="B8" s="584" t="s">
        <v>381</v>
      </c>
      <c r="C8" s="808"/>
      <c r="D8" s="808"/>
      <c r="E8" s="808"/>
      <c r="F8" s="809"/>
    </row>
    <row r="9" spans="1:50" ht="12.75" customHeight="1" x14ac:dyDescent="0.2">
      <c r="A9" s="598" t="s">
        <v>1</v>
      </c>
      <c r="B9" s="623" t="s">
        <v>382</v>
      </c>
      <c r="C9" s="624">
        <v>105015000</v>
      </c>
      <c r="D9" s="624">
        <f>C9*1.05</f>
        <v>110265750</v>
      </c>
      <c r="E9" s="624">
        <f t="shared" ref="E9:F9" si="0">D9*1.05</f>
        <v>115779037.5</v>
      </c>
      <c r="F9" s="624">
        <f t="shared" si="0"/>
        <v>121567989.375</v>
      </c>
    </row>
    <row r="10" spans="1:50" ht="42" customHeight="1" x14ac:dyDescent="0.2">
      <c r="A10" s="598" t="s">
        <v>3</v>
      </c>
      <c r="B10" s="623" t="s">
        <v>383</v>
      </c>
      <c r="C10" s="624">
        <f>13146913+893850-11200</f>
        <v>14029563</v>
      </c>
      <c r="D10" s="624">
        <f>C10*1.05</f>
        <v>14731041.15</v>
      </c>
      <c r="E10" s="624">
        <f t="shared" ref="E10:F10" si="1">D10*1.05</f>
        <v>15467593.207500001</v>
      </c>
      <c r="F10" s="624">
        <f t="shared" si="1"/>
        <v>16240972.867875002</v>
      </c>
    </row>
    <row r="11" spans="1:50" ht="15" x14ac:dyDescent="0.2">
      <c r="A11" s="598" t="s">
        <v>4</v>
      </c>
      <c r="B11" s="585" t="s">
        <v>384</v>
      </c>
      <c r="C11" s="533">
        <v>0</v>
      </c>
      <c r="D11" s="533">
        <v>0</v>
      </c>
      <c r="E11" s="533">
        <v>0</v>
      </c>
      <c r="F11" s="518">
        <v>0</v>
      </c>
    </row>
    <row r="12" spans="1:50" ht="44.25" customHeight="1" x14ac:dyDescent="0.2">
      <c r="A12" s="598" t="s">
        <v>5</v>
      </c>
      <c r="B12" s="623" t="s">
        <v>385</v>
      </c>
      <c r="C12" s="625">
        <v>0</v>
      </c>
      <c r="D12" s="624">
        <v>0</v>
      </c>
      <c r="E12" s="625">
        <v>0</v>
      </c>
      <c r="F12" s="651">
        <v>0</v>
      </c>
    </row>
    <row r="13" spans="1:50" ht="15" x14ac:dyDescent="0.2">
      <c r="A13" s="598" t="s">
        <v>7</v>
      </c>
      <c r="B13" s="585" t="s">
        <v>386</v>
      </c>
      <c r="C13" s="624">
        <v>1220000</v>
      </c>
      <c r="D13" s="624">
        <v>1220000</v>
      </c>
      <c r="E13" s="624">
        <v>1220000</v>
      </c>
      <c r="F13" s="624">
        <v>1220000</v>
      </c>
    </row>
    <row r="14" spans="1:50" ht="15" x14ac:dyDescent="0.2">
      <c r="A14" s="598" t="s">
        <v>18</v>
      </c>
      <c r="B14" s="585" t="s">
        <v>387</v>
      </c>
      <c r="C14" s="533">
        <v>0</v>
      </c>
      <c r="D14" s="533">
        <v>0</v>
      </c>
      <c r="E14" s="533">
        <v>0</v>
      </c>
      <c r="F14" s="518">
        <v>0</v>
      </c>
    </row>
    <row r="15" spans="1:50" ht="12.75" customHeight="1" thickBot="1" x14ac:dyDescent="0.25">
      <c r="A15" s="710"/>
      <c r="B15" s="586" t="s">
        <v>388</v>
      </c>
      <c r="C15" s="531">
        <f>SUM(C9:C14)</f>
        <v>120264563</v>
      </c>
      <c r="D15" s="531">
        <f t="shared" ref="D15:F15" si="2">SUM(D9:D14)</f>
        <v>126216791.15000001</v>
      </c>
      <c r="E15" s="531">
        <f t="shared" si="2"/>
        <v>132466630.7075</v>
      </c>
      <c r="F15" s="532">
        <f t="shared" si="2"/>
        <v>139028962.24287501</v>
      </c>
    </row>
    <row r="22" ht="15" customHeight="1" x14ac:dyDescent="0.2"/>
  </sheetData>
  <mergeCells count="3">
    <mergeCell ref="B4:F4"/>
    <mergeCell ref="C8:F8"/>
    <mergeCell ref="A3:F3"/>
  </mergeCells>
  <phoneticPr fontId="3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AW31"/>
  <sheetViews>
    <sheetView zoomScaleNormal="100" workbookViewId="0">
      <selection activeCell="G29" sqref="G29"/>
    </sheetView>
  </sheetViews>
  <sheetFormatPr defaultColWidth="9.140625" defaultRowHeight="12.75" x14ac:dyDescent="0.2"/>
  <cols>
    <col min="1" max="1" width="3.7109375" style="466" customWidth="1"/>
    <col min="2" max="2" width="18.85546875" style="466" customWidth="1"/>
    <col min="3" max="7" width="9.5703125" style="466" bestFit="1" customWidth="1"/>
    <col min="8" max="8" width="10.28515625" style="466" customWidth="1"/>
    <col min="9" max="9" width="10.5703125" style="466" customWidth="1"/>
    <col min="10" max="10" width="9.85546875" style="466" customWidth="1"/>
    <col min="11" max="12" width="9.7109375" style="466" customWidth="1"/>
    <col min="13" max="13" width="9.85546875" style="466" customWidth="1"/>
    <col min="14" max="14" width="10.7109375" style="466" customWidth="1"/>
    <col min="15" max="15" width="10.85546875" style="466" bestFit="1" customWidth="1"/>
    <col min="16" max="16" width="11.42578125" style="466" bestFit="1" customWidth="1"/>
    <col min="17" max="16384" width="9.140625" style="466"/>
  </cols>
  <sheetData>
    <row r="1" spans="1:49" x14ac:dyDescent="0.2">
      <c r="H1" s="712" t="s">
        <v>546</v>
      </c>
    </row>
    <row r="2" spans="1:49" s="201" customFormat="1" ht="22.5" customHeight="1" x14ac:dyDescent="0.3">
      <c r="B2" s="822" t="s">
        <v>444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823"/>
      <c r="O2" s="823"/>
      <c r="P2" s="324"/>
      <c r="Q2" s="324"/>
      <c r="R2" s="324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</row>
    <row r="3" spans="1:49" s="201" customFormat="1" ht="22.5" customHeight="1" x14ac:dyDescent="0.2">
      <c r="A3" s="597" t="s">
        <v>57</v>
      </c>
      <c r="B3" s="562" t="s">
        <v>65</v>
      </c>
      <c r="C3" s="562" t="s">
        <v>58</v>
      </c>
      <c r="D3" s="562" t="s">
        <v>59</v>
      </c>
      <c r="E3" s="562" t="s">
        <v>60</v>
      </c>
      <c r="F3" s="562" t="s">
        <v>67</v>
      </c>
      <c r="G3" s="562" t="s">
        <v>69</v>
      </c>
      <c r="H3" s="562" t="s">
        <v>70</v>
      </c>
      <c r="I3" s="562" t="s">
        <v>71</v>
      </c>
      <c r="J3" s="562" t="s">
        <v>72</v>
      </c>
      <c r="K3" s="562" t="s">
        <v>104</v>
      </c>
      <c r="L3" s="562" t="s">
        <v>98</v>
      </c>
      <c r="M3" s="562" t="s">
        <v>186</v>
      </c>
      <c r="N3" s="562" t="s">
        <v>99</v>
      </c>
      <c r="O3" s="562" t="s">
        <v>187</v>
      </c>
      <c r="P3" s="324"/>
      <c r="Q3" s="324"/>
      <c r="R3" s="324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</row>
    <row r="4" spans="1:49" ht="22.5" customHeight="1" x14ac:dyDescent="0.2">
      <c r="A4" s="598" t="s">
        <v>1</v>
      </c>
      <c r="B4" s="590" t="s">
        <v>66</v>
      </c>
      <c r="C4" s="590" t="s">
        <v>389</v>
      </c>
      <c r="D4" s="590" t="s">
        <v>390</v>
      </c>
      <c r="E4" s="590" t="s">
        <v>391</v>
      </c>
      <c r="F4" s="590" t="s">
        <v>392</v>
      </c>
      <c r="G4" s="590" t="s">
        <v>393</v>
      </c>
      <c r="H4" s="590" t="s">
        <v>332</v>
      </c>
      <c r="I4" s="590" t="s">
        <v>333</v>
      </c>
      <c r="J4" s="590" t="s">
        <v>394</v>
      </c>
      <c r="K4" s="590" t="s">
        <v>335</v>
      </c>
      <c r="L4" s="590" t="s">
        <v>395</v>
      </c>
      <c r="M4" s="590" t="s">
        <v>396</v>
      </c>
      <c r="N4" s="590" t="s">
        <v>397</v>
      </c>
      <c r="O4" s="590" t="s">
        <v>88</v>
      </c>
    </row>
    <row r="5" spans="1:49" x14ac:dyDescent="0.2">
      <c r="A5" s="598" t="s">
        <v>3</v>
      </c>
      <c r="B5" s="593" t="s">
        <v>398</v>
      </c>
      <c r="C5" s="594">
        <v>398223397</v>
      </c>
      <c r="D5" s="594">
        <f ca="1">C31</f>
        <v>318075005.64285713</v>
      </c>
      <c r="E5" s="594">
        <f t="shared" ref="E5:N5" ca="1" si="0">D31</f>
        <v>256909408.28571433</v>
      </c>
      <c r="F5" s="594">
        <f t="shared" ca="1" si="0"/>
        <v>91545818.428571463</v>
      </c>
      <c r="G5" s="594">
        <f t="shared" ca="1" si="0"/>
        <v>31380221.071428627</v>
      </c>
      <c r="H5" s="594">
        <f t="shared" ca="1" si="0"/>
        <v>700553.71428582072</v>
      </c>
      <c r="I5" s="594">
        <f t="shared" ca="1" si="0"/>
        <v>-59465043.642857015</v>
      </c>
      <c r="J5" s="594">
        <f t="shared" ca="1" si="0"/>
        <v>-119630640.99999985</v>
      </c>
      <c r="K5" s="594">
        <f t="shared" ca="1" si="0"/>
        <v>-115133796.49999985</v>
      </c>
      <c r="L5" s="594">
        <f t="shared" ca="1" si="0"/>
        <v>-56881161.999999851</v>
      </c>
      <c r="M5" s="594">
        <f t="shared" ca="1" si="0"/>
        <v>396514.50000014901</v>
      </c>
      <c r="N5" s="594">
        <f t="shared" ca="1" si="0"/>
        <v>58849149.000000149</v>
      </c>
      <c r="O5" s="594"/>
    </row>
    <row r="6" spans="1:49" x14ac:dyDescent="0.2">
      <c r="A6" s="598" t="s">
        <v>4</v>
      </c>
      <c r="B6" s="813" t="s">
        <v>399</v>
      </c>
      <c r="C6" s="814"/>
      <c r="D6" s="814"/>
      <c r="E6" s="814"/>
      <c r="F6" s="814"/>
      <c r="G6" s="814"/>
      <c r="H6" s="814"/>
      <c r="I6" s="814"/>
      <c r="J6" s="814"/>
      <c r="K6" s="814"/>
      <c r="L6" s="814"/>
      <c r="M6" s="814"/>
      <c r="N6" s="814"/>
      <c r="O6" s="815"/>
    </row>
    <row r="7" spans="1:49" x14ac:dyDescent="0.2">
      <c r="A7" s="598" t="s">
        <v>5</v>
      </c>
      <c r="B7" s="816"/>
      <c r="C7" s="817"/>
      <c r="D7" s="817"/>
      <c r="E7" s="817"/>
      <c r="F7" s="817"/>
      <c r="G7" s="817"/>
      <c r="H7" s="817"/>
      <c r="I7" s="817"/>
      <c r="J7" s="817"/>
      <c r="K7" s="817"/>
      <c r="L7" s="817"/>
      <c r="M7" s="817"/>
      <c r="N7" s="817"/>
      <c r="O7" s="818"/>
    </row>
    <row r="8" spans="1:49" x14ac:dyDescent="0.2">
      <c r="A8" s="598" t="s">
        <v>7</v>
      </c>
      <c r="B8" s="596" t="s">
        <v>400</v>
      </c>
      <c r="C8" s="588">
        <f>'17.melléklet.felhaszn.ütemterve'!B11</f>
        <v>54049821.25</v>
      </c>
      <c r="D8" s="588">
        <f t="shared" ref="D8:D11" si="1">+C8</f>
        <v>54049821.25</v>
      </c>
      <c r="E8" s="588">
        <f t="shared" ref="E8:N8" si="2">+D8</f>
        <v>54049821.25</v>
      </c>
      <c r="F8" s="588">
        <f t="shared" si="2"/>
        <v>54049821.25</v>
      </c>
      <c r="G8" s="588">
        <f t="shared" si="2"/>
        <v>54049821.25</v>
      </c>
      <c r="H8" s="588">
        <f t="shared" si="2"/>
        <v>54049821.25</v>
      </c>
      <c r="I8" s="588">
        <f t="shared" si="2"/>
        <v>54049821.25</v>
      </c>
      <c r="J8" s="588">
        <f t="shared" si="2"/>
        <v>54049821.25</v>
      </c>
      <c r="K8" s="588">
        <f t="shared" si="2"/>
        <v>54049821.25</v>
      </c>
      <c r="L8" s="588">
        <f t="shared" si="2"/>
        <v>54049821.25</v>
      </c>
      <c r="M8" s="588">
        <f t="shared" si="2"/>
        <v>54049821.25</v>
      </c>
      <c r="N8" s="588">
        <f t="shared" si="2"/>
        <v>54049821.25</v>
      </c>
      <c r="O8" s="588">
        <f>SUM(C8:N8)</f>
        <v>648597855</v>
      </c>
    </row>
    <row r="9" spans="1:49" x14ac:dyDescent="0.2">
      <c r="A9" s="598" t="s">
        <v>18</v>
      </c>
      <c r="B9" s="596" t="s">
        <v>401</v>
      </c>
      <c r="C9" s="588">
        <f>'17.melléklet.felhaszn.ütemterve'!B12</f>
        <v>6635343.583333333</v>
      </c>
      <c r="D9" s="588">
        <f t="shared" si="1"/>
        <v>6635343.583333333</v>
      </c>
      <c r="E9" s="588">
        <f t="shared" ref="E9:N9" si="3">+D9</f>
        <v>6635343.583333333</v>
      </c>
      <c r="F9" s="588">
        <f t="shared" si="3"/>
        <v>6635343.583333333</v>
      </c>
      <c r="G9" s="588">
        <f t="shared" si="3"/>
        <v>6635343.583333333</v>
      </c>
      <c r="H9" s="588">
        <f t="shared" si="3"/>
        <v>6635343.583333333</v>
      </c>
      <c r="I9" s="588">
        <f t="shared" si="3"/>
        <v>6635343.583333333</v>
      </c>
      <c r="J9" s="588">
        <f t="shared" si="3"/>
        <v>6635343.583333333</v>
      </c>
      <c r="K9" s="588">
        <f t="shared" si="3"/>
        <v>6635343.583333333</v>
      </c>
      <c r="L9" s="588">
        <f t="shared" si="3"/>
        <v>6635343.583333333</v>
      </c>
      <c r="M9" s="588">
        <f t="shared" si="3"/>
        <v>6635343.583333333</v>
      </c>
      <c r="N9" s="588">
        <f t="shared" si="3"/>
        <v>6635343.583333333</v>
      </c>
      <c r="O9" s="588">
        <f t="shared" ref="O9:O14" si="4">SUM(C9:N9)</f>
        <v>79624123</v>
      </c>
    </row>
    <row r="10" spans="1:49" x14ac:dyDescent="0.2">
      <c r="A10" s="598" t="s">
        <v>20</v>
      </c>
      <c r="B10" s="596" t="s">
        <v>62</v>
      </c>
      <c r="C10" s="588">
        <f>'17.melléklet.felhaszn.ütemterve'!B9</f>
        <v>8981776.416666666</v>
      </c>
      <c r="D10" s="588">
        <f t="shared" si="1"/>
        <v>8981776.416666666</v>
      </c>
      <c r="E10" s="588">
        <f t="shared" ref="E10:N10" si="5">+D10</f>
        <v>8981776.416666666</v>
      </c>
      <c r="F10" s="588">
        <f t="shared" si="5"/>
        <v>8981776.416666666</v>
      </c>
      <c r="G10" s="588">
        <f t="shared" si="5"/>
        <v>8981776.416666666</v>
      </c>
      <c r="H10" s="588">
        <f t="shared" si="5"/>
        <v>8981776.416666666</v>
      </c>
      <c r="I10" s="588">
        <f t="shared" si="5"/>
        <v>8981776.416666666</v>
      </c>
      <c r="J10" s="588">
        <f t="shared" si="5"/>
        <v>8981776.416666666</v>
      </c>
      <c r="K10" s="588">
        <f t="shared" si="5"/>
        <v>8981776.416666666</v>
      </c>
      <c r="L10" s="588">
        <f t="shared" si="5"/>
        <v>8981776.416666666</v>
      </c>
      <c r="M10" s="588">
        <f t="shared" si="5"/>
        <v>8981776.416666666</v>
      </c>
      <c r="N10" s="588">
        <f t="shared" si="5"/>
        <v>8981776.416666666</v>
      </c>
      <c r="O10" s="588">
        <f t="shared" si="4"/>
        <v>107781317.00000001</v>
      </c>
    </row>
    <row r="11" spans="1:49" x14ac:dyDescent="0.2">
      <c r="A11" s="598" t="s">
        <v>21</v>
      </c>
      <c r="B11" s="596" t="s">
        <v>63</v>
      </c>
      <c r="C11" s="588">
        <f ca="1">'17.melléklet.felhaszn.ütemterve'!B10</f>
        <v>12356709.333333334</v>
      </c>
      <c r="D11" s="588">
        <f t="shared" ca="1" si="1"/>
        <v>12356709.333333334</v>
      </c>
      <c r="E11" s="588">
        <f t="shared" ref="E11:N11" ca="1" si="6">+D11</f>
        <v>12356709.333333334</v>
      </c>
      <c r="F11" s="588">
        <f t="shared" ca="1" si="6"/>
        <v>12356709.333333334</v>
      </c>
      <c r="G11" s="588">
        <f t="shared" ca="1" si="6"/>
        <v>12356709.333333334</v>
      </c>
      <c r="H11" s="588">
        <f t="shared" ca="1" si="6"/>
        <v>12356709.333333334</v>
      </c>
      <c r="I11" s="588">
        <f t="shared" ca="1" si="6"/>
        <v>12356709.333333334</v>
      </c>
      <c r="J11" s="588">
        <f t="shared" ca="1" si="6"/>
        <v>12356709.333333334</v>
      </c>
      <c r="K11" s="588">
        <f t="shared" ca="1" si="6"/>
        <v>12356709.333333334</v>
      </c>
      <c r="L11" s="588">
        <f t="shared" ca="1" si="6"/>
        <v>12356709.333333334</v>
      </c>
      <c r="M11" s="588">
        <f t="shared" ca="1" si="6"/>
        <v>12356709.333333334</v>
      </c>
      <c r="N11" s="588">
        <f t="shared" ca="1" si="6"/>
        <v>12356709.333333334</v>
      </c>
      <c r="O11" s="588">
        <f t="shared" ca="1" si="4"/>
        <v>148280512</v>
      </c>
    </row>
    <row r="12" spans="1:49" x14ac:dyDescent="0.2">
      <c r="A12" s="598" t="s">
        <v>23</v>
      </c>
      <c r="B12" s="596" t="s">
        <v>402</v>
      </c>
      <c r="C12" s="588">
        <f>'17.melléklet.felhaszn.ütemterve'!B14+'17.melléklet.felhaszn.ütemterve'!B15</f>
        <v>61365255.083333336</v>
      </c>
      <c r="D12" s="588">
        <f>'17.melléklet.felhaszn.ütemterve'!C14+'17.melléklet.felhaszn.ütemterve'!C15</f>
        <v>61365255.083333336</v>
      </c>
      <c r="E12" s="588">
        <f>'17.melléklet.felhaszn.ütemterve'!D14+'17.melléklet.felhaszn.ütemterve'!D15</f>
        <v>61365255.083333336</v>
      </c>
      <c r="F12" s="588">
        <f>'17.melléklet.felhaszn.ütemterve'!E14+'17.melléklet.felhaszn.ütemterve'!E15</f>
        <v>61365255.083333336</v>
      </c>
      <c r="G12" s="588">
        <f>'17.melléklet.felhaszn.ütemterve'!F14+'17.melléklet.felhaszn.ütemterve'!F15</f>
        <v>91437555.083333343</v>
      </c>
      <c r="H12" s="588">
        <f>'17.melléklet.felhaszn.ütemterve'!G14+'17.melléklet.felhaszn.ütemterve'!G15</f>
        <v>61365255.083333336</v>
      </c>
      <c r="I12" s="588">
        <f>'17.melléklet.felhaszn.ütemterve'!H14+'17.melléklet.felhaszn.ütemterve'!H15</f>
        <v>61365255.083333336</v>
      </c>
      <c r="J12" s="588">
        <f>'17.melléklet.felhaszn.ütemterve'!I14+'17.melléklet.felhaszn.ütemterve'!I15</f>
        <v>61365255.083333336</v>
      </c>
      <c r="K12" s="588">
        <f>'17.melléklet.felhaszn.ütemterve'!J14+'17.melléklet.felhaszn.ütemterve'!J15</f>
        <v>61365255.083333336</v>
      </c>
      <c r="L12" s="588">
        <f>'17.melléklet.felhaszn.ütemterve'!K14+'17.melléklet.felhaszn.ütemterve'!K15</f>
        <v>61365255.083333336</v>
      </c>
      <c r="M12" s="588">
        <f>'17.melléklet.felhaszn.ütemterve'!L14+'17.melléklet.felhaszn.ütemterve'!L15</f>
        <v>61365255.083333336</v>
      </c>
      <c r="N12" s="588">
        <f>'17.melléklet.felhaszn.ütemterve'!M14+'17.melléklet.felhaszn.ütemterve'!M15</f>
        <v>61365255.083333336</v>
      </c>
      <c r="O12" s="588">
        <f t="shared" si="4"/>
        <v>766455361.00000012</v>
      </c>
    </row>
    <row r="13" spans="1:49" x14ac:dyDescent="0.2">
      <c r="A13" s="598" t="s">
        <v>24</v>
      </c>
      <c r="B13" s="596" t="s">
        <v>450</v>
      </c>
      <c r="C13" s="588">
        <f>'17.melléklet.felhaszn.ütemterve'!B18+'17.melléklet.felhaszn.ütemterve'!B17</f>
        <v>1750000</v>
      </c>
      <c r="D13" s="588">
        <f>'17.melléklet.felhaszn.ütemterve'!C18+'17.melléklet.felhaszn.ütemterve'!C17</f>
        <v>0</v>
      </c>
      <c r="E13" s="588">
        <f>'17.melléklet.felhaszn.ütemterve'!D18+'17.melléklet.felhaszn.ütemterve'!D17</f>
        <v>0</v>
      </c>
      <c r="F13" s="588">
        <f>'17.melléklet.felhaszn.ütemterve'!E18+'17.melléklet.felhaszn.ütemterve'!E17</f>
        <v>0</v>
      </c>
      <c r="G13" s="588">
        <f>'17.melléklet.felhaszn.ütemterve'!F18+'17.melléklet.felhaszn.ütemterve'!F17</f>
        <v>2000000</v>
      </c>
      <c r="H13" s="588">
        <f>'17.melléklet.felhaszn.ütemterve'!G18+'17.melléklet.felhaszn.ütemterve'!G17</f>
        <v>0</v>
      </c>
      <c r="I13" s="588">
        <f>'17.melléklet.felhaszn.ütemterve'!H18+'17.melléklet.felhaszn.ütemterve'!H17</f>
        <v>0</v>
      </c>
      <c r="J13" s="588">
        <f>'17.melléklet.felhaszn.ütemterve'!I18+'17.melléklet.felhaszn.ütemterve'!I17</f>
        <v>0</v>
      </c>
      <c r="K13" s="588">
        <f>'17.melléklet.felhaszn.ütemterve'!J18+'17.melléklet.felhaszn.ütemterve'!J17</f>
        <v>0</v>
      </c>
      <c r="L13" s="588">
        <f>'17.melléklet.felhaszn.ütemterve'!K18+'17.melléklet.felhaszn.ütemterve'!K17</f>
        <v>0</v>
      </c>
      <c r="M13" s="588">
        <f>'17.melléklet.felhaszn.ütemterve'!L18+'17.melléklet.felhaszn.ütemterve'!L17</f>
        <v>200000</v>
      </c>
      <c r="N13" s="588">
        <f>'17.melléklet.felhaszn.ütemterve'!M18+'17.melléklet.felhaszn.ütemterve'!M17</f>
        <v>0</v>
      </c>
      <c r="O13" s="588">
        <f t="shared" si="4"/>
        <v>3950000</v>
      </c>
    </row>
    <row r="14" spans="1:49" x14ac:dyDescent="0.2">
      <c r="A14" s="598" t="s">
        <v>25</v>
      </c>
      <c r="B14" s="596" t="s">
        <v>440</v>
      </c>
      <c r="C14" s="588"/>
      <c r="D14" s="588">
        <f>+C14</f>
        <v>0</v>
      </c>
      <c r="E14" s="588">
        <f t="shared" ref="E14:F14" si="7">+D14</f>
        <v>0</v>
      </c>
      <c r="F14" s="588">
        <f t="shared" si="7"/>
        <v>0</v>
      </c>
      <c r="G14" s="588"/>
      <c r="H14" s="588"/>
      <c r="I14" s="588"/>
      <c r="J14" s="588"/>
      <c r="K14" s="588"/>
      <c r="L14" s="588"/>
      <c r="M14" s="588"/>
      <c r="N14" s="588"/>
      <c r="O14" s="588">
        <f t="shared" si="4"/>
        <v>0</v>
      </c>
    </row>
    <row r="15" spans="1:49" x14ac:dyDescent="0.2">
      <c r="A15" s="598" t="s">
        <v>27</v>
      </c>
      <c r="B15" s="592" t="s">
        <v>366</v>
      </c>
      <c r="C15" s="589">
        <f t="shared" ref="C15:N15" ca="1" si="8">SUM(C8:C14)</f>
        <v>145138905.66666666</v>
      </c>
      <c r="D15" s="589">
        <f t="shared" ca="1" si="8"/>
        <v>143388905.66666666</v>
      </c>
      <c r="E15" s="589">
        <f t="shared" ca="1" si="8"/>
        <v>143388905.66666666</v>
      </c>
      <c r="F15" s="589">
        <f t="shared" ca="1" si="8"/>
        <v>143388905.66666666</v>
      </c>
      <c r="G15" s="589">
        <f t="shared" ca="1" si="8"/>
        <v>175461205.66666669</v>
      </c>
      <c r="H15" s="589">
        <f t="shared" ca="1" si="8"/>
        <v>143388905.66666666</v>
      </c>
      <c r="I15" s="589">
        <f t="shared" ca="1" si="8"/>
        <v>143388905.66666666</v>
      </c>
      <c r="J15" s="589">
        <f t="shared" ca="1" si="8"/>
        <v>143388905.66666666</v>
      </c>
      <c r="K15" s="589">
        <f t="shared" ca="1" si="8"/>
        <v>143388905.66666666</v>
      </c>
      <c r="L15" s="589">
        <f t="shared" ca="1" si="8"/>
        <v>143388905.66666666</v>
      </c>
      <c r="M15" s="589">
        <f t="shared" ca="1" si="8"/>
        <v>143588905.66666666</v>
      </c>
      <c r="N15" s="589">
        <f t="shared" ca="1" si="8"/>
        <v>143388905.66666666</v>
      </c>
      <c r="O15" s="589">
        <f ca="1">SUM(C15:N15)</f>
        <v>1754689168.0000002</v>
      </c>
      <c r="P15" s="599"/>
    </row>
    <row r="16" spans="1:49" x14ac:dyDescent="0.2">
      <c r="A16" s="598" t="s">
        <v>28</v>
      </c>
      <c r="B16" s="824"/>
      <c r="C16" s="825"/>
      <c r="D16" s="825"/>
      <c r="E16" s="825"/>
      <c r="F16" s="825"/>
      <c r="G16" s="825"/>
      <c r="H16" s="825"/>
      <c r="I16" s="825"/>
      <c r="J16" s="825"/>
      <c r="K16" s="825"/>
      <c r="L16" s="825"/>
      <c r="M16" s="825"/>
      <c r="N16" s="825"/>
      <c r="O16" s="826"/>
    </row>
    <row r="17" spans="1:17" x14ac:dyDescent="0.2">
      <c r="A17" s="598" t="s">
        <v>31</v>
      </c>
      <c r="B17" s="591" t="s">
        <v>403</v>
      </c>
      <c r="C17" s="592">
        <f ca="1">C5+C15</f>
        <v>543362302.66666663</v>
      </c>
      <c r="D17" s="592">
        <f ca="1">D5+D15</f>
        <v>461463911.30952382</v>
      </c>
      <c r="E17" s="592">
        <f t="shared" ref="E17:N17" ca="1" si="9">E5+E15</f>
        <v>400298313.95238101</v>
      </c>
      <c r="F17" s="592">
        <f t="shared" ca="1" si="9"/>
        <v>234934724.09523812</v>
      </c>
      <c r="G17" s="592">
        <f t="shared" ca="1" si="9"/>
        <v>206841426.73809531</v>
      </c>
      <c r="H17" s="592">
        <f t="shared" ca="1" si="9"/>
        <v>144089459.38095248</v>
      </c>
      <c r="I17" s="592">
        <f t="shared" ca="1" si="9"/>
        <v>83923862.023809642</v>
      </c>
      <c r="J17" s="592">
        <f t="shared" ca="1" si="9"/>
        <v>23758264.666666806</v>
      </c>
      <c r="K17" s="592">
        <f t="shared" ca="1" si="9"/>
        <v>28255109.166666806</v>
      </c>
      <c r="L17" s="592">
        <f t="shared" ca="1" si="9"/>
        <v>86507743.666666806</v>
      </c>
      <c r="M17" s="592">
        <f t="shared" ca="1" si="9"/>
        <v>143985420.16666681</v>
      </c>
      <c r="N17" s="592">
        <f t="shared" ca="1" si="9"/>
        <v>202238054.66666681</v>
      </c>
      <c r="O17" s="592"/>
    </row>
    <row r="18" spans="1:17" x14ac:dyDescent="0.2">
      <c r="A18" s="598" t="s">
        <v>33</v>
      </c>
      <c r="B18" s="813" t="s">
        <v>404</v>
      </c>
      <c r="C18" s="814"/>
      <c r="D18" s="814"/>
      <c r="E18" s="814"/>
      <c r="F18" s="814"/>
      <c r="G18" s="814"/>
      <c r="H18" s="814"/>
      <c r="I18" s="814"/>
      <c r="J18" s="814"/>
      <c r="K18" s="814"/>
      <c r="L18" s="814"/>
      <c r="M18" s="814"/>
      <c r="N18" s="814"/>
      <c r="O18" s="815"/>
    </row>
    <row r="19" spans="1:17" x14ac:dyDescent="0.2">
      <c r="A19" s="598" t="s">
        <v>61</v>
      </c>
      <c r="B19" s="816"/>
      <c r="C19" s="817"/>
      <c r="D19" s="817"/>
      <c r="E19" s="817"/>
      <c r="F19" s="817"/>
      <c r="G19" s="817"/>
      <c r="H19" s="817"/>
      <c r="I19" s="817"/>
      <c r="J19" s="817"/>
      <c r="K19" s="817"/>
      <c r="L19" s="817"/>
      <c r="M19" s="817"/>
      <c r="N19" s="817"/>
      <c r="O19" s="818"/>
    </row>
    <row r="20" spans="1:17" x14ac:dyDescent="0.2">
      <c r="A20" s="598" t="s">
        <v>35</v>
      </c>
      <c r="B20" s="596" t="s">
        <v>405</v>
      </c>
      <c r="C20" s="588">
        <f>'17.melléklet.felhaszn.ütemterve'!B22</f>
        <v>42123500.5</v>
      </c>
      <c r="D20" s="588">
        <f t="shared" ref="D20:D25" si="10">+C20</f>
        <v>42123500.5</v>
      </c>
      <c r="E20" s="588">
        <f t="shared" ref="E20:N20" si="11">+D20</f>
        <v>42123500.5</v>
      </c>
      <c r="F20" s="588">
        <f t="shared" si="11"/>
        <v>42123500.5</v>
      </c>
      <c r="G20" s="588">
        <f t="shared" si="11"/>
        <v>42123500.5</v>
      </c>
      <c r="H20" s="588">
        <f t="shared" si="11"/>
        <v>42123500.5</v>
      </c>
      <c r="I20" s="588">
        <f t="shared" si="11"/>
        <v>42123500.5</v>
      </c>
      <c r="J20" s="588">
        <f t="shared" si="11"/>
        <v>42123500.5</v>
      </c>
      <c r="K20" s="588">
        <f t="shared" si="11"/>
        <v>42123500.5</v>
      </c>
      <c r="L20" s="588">
        <f t="shared" si="11"/>
        <v>42123500.5</v>
      </c>
      <c r="M20" s="588">
        <f t="shared" si="11"/>
        <v>42123500.5</v>
      </c>
      <c r="N20" s="588">
        <f t="shared" si="11"/>
        <v>42123500.5</v>
      </c>
      <c r="O20" s="588">
        <f>SUM(C20:N20)</f>
        <v>505482006</v>
      </c>
    </row>
    <row r="21" spans="1:17" x14ac:dyDescent="0.2">
      <c r="A21" s="598" t="s">
        <v>37</v>
      </c>
      <c r="B21" s="596" t="s">
        <v>406</v>
      </c>
      <c r="C21" s="588">
        <f>'17.melléklet.felhaszn.ütemterve'!B23</f>
        <v>5243821.166666667</v>
      </c>
      <c r="D21" s="588">
        <f t="shared" si="10"/>
        <v>5243821.166666667</v>
      </c>
      <c r="E21" s="588">
        <f t="shared" ref="E21:N21" si="12">+D21</f>
        <v>5243821.166666667</v>
      </c>
      <c r="F21" s="588">
        <f t="shared" si="12"/>
        <v>5243821.166666667</v>
      </c>
      <c r="G21" s="588">
        <f t="shared" si="12"/>
        <v>5243821.166666667</v>
      </c>
      <c r="H21" s="588">
        <f t="shared" si="12"/>
        <v>5243821.166666667</v>
      </c>
      <c r="I21" s="588">
        <f t="shared" si="12"/>
        <v>5243821.166666667</v>
      </c>
      <c r="J21" s="588">
        <f t="shared" si="12"/>
        <v>5243821.166666667</v>
      </c>
      <c r="K21" s="588">
        <f t="shared" si="12"/>
        <v>5243821.166666667</v>
      </c>
      <c r="L21" s="588">
        <f t="shared" si="12"/>
        <v>5243821.166666667</v>
      </c>
      <c r="M21" s="588">
        <f t="shared" si="12"/>
        <v>5243821.166666667</v>
      </c>
      <c r="N21" s="588">
        <f t="shared" si="12"/>
        <v>5243821.166666667</v>
      </c>
      <c r="O21" s="588">
        <f t="shared" ref="O21:O29" si="13">SUM(C21:N21)</f>
        <v>62925853.999999993</v>
      </c>
    </row>
    <row r="22" spans="1:17" x14ac:dyDescent="0.2">
      <c r="A22" s="598" t="s">
        <v>136</v>
      </c>
      <c r="B22" s="596" t="s">
        <v>41</v>
      </c>
      <c r="C22" s="588">
        <f>'17.melléklet.felhaszn.ütemterve'!B24</f>
        <v>29756522.416666668</v>
      </c>
      <c r="D22" s="588">
        <f t="shared" si="10"/>
        <v>29756522.416666668</v>
      </c>
      <c r="E22" s="588">
        <f t="shared" ref="E22:N22" si="14">+D22</f>
        <v>29756522.416666668</v>
      </c>
      <c r="F22" s="588">
        <f t="shared" si="14"/>
        <v>29756522.416666668</v>
      </c>
      <c r="G22" s="588">
        <f t="shared" si="14"/>
        <v>29756522.416666668</v>
      </c>
      <c r="H22" s="588">
        <f t="shared" si="14"/>
        <v>29756522.416666668</v>
      </c>
      <c r="I22" s="588">
        <f t="shared" si="14"/>
        <v>29756522.416666668</v>
      </c>
      <c r="J22" s="588">
        <f t="shared" si="14"/>
        <v>29756522.416666668</v>
      </c>
      <c r="K22" s="588">
        <f t="shared" si="14"/>
        <v>29756522.416666668</v>
      </c>
      <c r="L22" s="588">
        <f t="shared" si="14"/>
        <v>29756522.416666668</v>
      </c>
      <c r="M22" s="588">
        <f t="shared" si="14"/>
        <v>29756522.416666668</v>
      </c>
      <c r="N22" s="588">
        <f t="shared" si="14"/>
        <v>29756522.416666668</v>
      </c>
      <c r="O22" s="588">
        <f t="shared" si="13"/>
        <v>357078269</v>
      </c>
    </row>
    <row r="23" spans="1:17" x14ac:dyDescent="0.2">
      <c r="A23" s="598" t="s">
        <v>137</v>
      </c>
      <c r="B23" s="596" t="s">
        <v>42</v>
      </c>
      <c r="C23" s="588">
        <f>'17.melléklet.felhaszn.ütemterve'!B25</f>
        <v>2777114.75</v>
      </c>
      <c r="D23" s="588">
        <f t="shared" si="10"/>
        <v>2777114.75</v>
      </c>
      <c r="E23" s="588">
        <f t="shared" ref="E23:N23" si="15">+D23</f>
        <v>2777114.75</v>
      </c>
      <c r="F23" s="588">
        <f t="shared" si="15"/>
        <v>2777114.75</v>
      </c>
      <c r="G23" s="588">
        <f t="shared" si="15"/>
        <v>2777114.75</v>
      </c>
      <c r="H23" s="588">
        <f t="shared" si="15"/>
        <v>2777114.75</v>
      </c>
      <c r="I23" s="588">
        <f t="shared" si="15"/>
        <v>2777114.75</v>
      </c>
      <c r="J23" s="588">
        <f t="shared" si="15"/>
        <v>2777114.75</v>
      </c>
      <c r="K23" s="588">
        <f t="shared" si="15"/>
        <v>2777114.75</v>
      </c>
      <c r="L23" s="588">
        <f t="shared" si="15"/>
        <v>2777114.75</v>
      </c>
      <c r="M23" s="588">
        <f t="shared" si="15"/>
        <v>2777114.75</v>
      </c>
      <c r="N23" s="588">
        <f t="shared" si="15"/>
        <v>2777114.75</v>
      </c>
      <c r="O23" s="588">
        <f t="shared" si="13"/>
        <v>33325377</v>
      </c>
    </row>
    <row r="24" spans="1:17" x14ac:dyDescent="0.2">
      <c r="A24" s="598" t="s">
        <v>138</v>
      </c>
      <c r="B24" s="596" t="s">
        <v>407</v>
      </c>
      <c r="C24" s="588">
        <f>'17.melléklet.felhaszn.ütemterve'!B26</f>
        <v>4235312.333333333</v>
      </c>
      <c r="D24" s="588">
        <f t="shared" si="10"/>
        <v>4235312.333333333</v>
      </c>
      <c r="E24" s="588">
        <f t="shared" ref="E24:N25" si="16">+D24</f>
        <v>4235312.333333333</v>
      </c>
      <c r="F24" s="588">
        <f t="shared" si="16"/>
        <v>4235312.333333333</v>
      </c>
      <c r="G24" s="588">
        <f t="shared" si="16"/>
        <v>4235312.333333333</v>
      </c>
      <c r="H24" s="588">
        <f t="shared" si="16"/>
        <v>4235312.333333333</v>
      </c>
      <c r="I24" s="588">
        <f t="shared" si="16"/>
        <v>4235312.333333333</v>
      </c>
      <c r="J24" s="588">
        <f t="shared" si="16"/>
        <v>4235312.333333333</v>
      </c>
      <c r="K24" s="588">
        <f t="shared" si="16"/>
        <v>4235312.333333333</v>
      </c>
      <c r="L24" s="588">
        <f t="shared" si="16"/>
        <v>4235312.333333333</v>
      </c>
      <c r="M24" s="588">
        <f t="shared" si="16"/>
        <v>4235312.333333333</v>
      </c>
      <c r="N24" s="588">
        <f t="shared" si="16"/>
        <v>4235312.333333333</v>
      </c>
      <c r="O24" s="588">
        <f t="shared" si="13"/>
        <v>50823748.000000007</v>
      </c>
    </row>
    <row r="25" spans="1:17" x14ac:dyDescent="0.2">
      <c r="A25" s="598" t="s">
        <v>139</v>
      </c>
      <c r="B25" s="596" t="s">
        <v>109</v>
      </c>
      <c r="C25" s="588"/>
      <c r="D25" s="588">
        <f t="shared" si="10"/>
        <v>0</v>
      </c>
      <c r="E25" s="588">
        <f t="shared" si="16"/>
        <v>0</v>
      </c>
      <c r="F25" s="588">
        <f t="shared" si="16"/>
        <v>0</v>
      </c>
      <c r="G25" s="588">
        <f t="shared" si="16"/>
        <v>0</v>
      </c>
      <c r="H25" s="588">
        <f t="shared" si="16"/>
        <v>0</v>
      </c>
      <c r="I25" s="588">
        <f t="shared" si="16"/>
        <v>0</v>
      </c>
      <c r="J25" s="588">
        <f t="shared" si="16"/>
        <v>0</v>
      </c>
      <c r="K25" s="588">
        <f t="shared" si="16"/>
        <v>0</v>
      </c>
      <c r="L25" s="588">
        <f t="shared" si="16"/>
        <v>0</v>
      </c>
      <c r="M25" s="588">
        <f t="shared" si="16"/>
        <v>0</v>
      </c>
      <c r="N25" s="588">
        <f t="shared" si="16"/>
        <v>0</v>
      </c>
      <c r="O25" s="588">
        <f t="shared" si="13"/>
        <v>0</v>
      </c>
    </row>
    <row r="26" spans="1:17" x14ac:dyDescent="0.2">
      <c r="A26" s="598" t="s">
        <v>140</v>
      </c>
      <c r="B26" s="596" t="s">
        <v>408</v>
      </c>
      <c r="C26" s="588">
        <f>'17.melléklet.felhaszn.ütemterve'!B27+'17.melléklet.felhaszn.ütemterve'!B28</f>
        <v>119418231.85714285</v>
      </c>
      <c r="D26" s="588">
        <f>'17.melléklet.felhaszn.ütemterve'!C27+'17.melléklet.felhaszn.ütemterve'!C28</f>
        <v>119418231.85714285</v>
      </c>
      <c r="E26" s="588">
        <f>'17.melléklet.felhaszn.ütemterve'!D27+'17.melléklet.felhaszn.ütemterve'!D28</f>
        <v>223616224.35714287</v>
      </c>
      <c r="F26" s="588">
        <f>'17.melléklet.felhaszn.ütemterve'!E27+'17.melléklet.felhaszn.ütemterve'!E28</f>
        <v>119418231.85714285</v>
      </c>
      <c r="G26" s="588">
        <f>'17.melléklet.felhaszn.ütemterve'!F27+'17.melléklet.felhaszn.ütemterve'!F28</f>
        <v>119418231.85714285</v>
      </c>
      <c r="H26" s="588">
        <f>'17.melléklet.felhaszn.ütemterve'!G27+'17.melléklet.felhaszn.ütemterve'!G28</f>
        <v>119418231.85714285</v>
      </c>
      <c r="I26" s="588">
        <f>'17.melléklet.felhaszn.ütemterve'!H27+'17.melléklet.felhaszn.ütemterve'!H28</f>
        <v>119418231.85714285</v>
      </c>
      <c r="J26" s="588">
        <f>'17.melléklet.felhaszn.ütemterve'!I27+'17.melléklet.felhaszn.ütemterve'!I28</f>
        <v>54755790</v>
      </c>
      <c r="K26" s="588">
        <f>'17.melléklet.felhaszn.ütemterve'!J27+'17.melléklet.felhaszn.ütemterve'!J28</f>
        <v>0</v>
      </c>
      <c r="L26" s="588">
        <f>'17.melléklet.felhaszn.ütemterve'!K27+'17.melléklet.felhaszn.ütemterve'!K28</f>
        <v>974958</v>
      </c>
      <c r="M26" s="588">
        <f>'17.melléklet.felhaszn.ütemterve'!L27+'17.melléklet.felhaszn.ütemterve'!L28</f>
        <v>0</v>
      </c>
      <c r="N26" s="588">
        <f>'17.melléklet.felhaszn.ütemterve'!M27+'17.melléklet.felhaszn.ütemterve'!M28</f>
        <v>0</v>
      </c>
      <c r="O26" s="588">
        <f t="shared" si="13"/>
        <v>995856363.49999976</v>
      </c>
    </row>
    <row r="27" spans="1:17" x14ac:dyDescent="0.2">
      <c r="A27" s="598" t="s">
        <v>141</v>
      </c>
      <c r="B27" s="596" t="s">
        <v>409</v>
      </c>
      <c r="C27" s="588">
        <f>'17.melléklet.felhaszn.ütemterve'!B29</f>
        <v>0</v>
      </c>
      <c r="D27" s="588">
        <f>'17.melléklet.felhaszn.ütemterve'!C29</f>
        <v>1000000</v>
      </c>
      <c r="E27" s="588">
        <f>'17.melléklet.felhaszn.ütemterve'!D29</f>
        <v>1000000</v>
      </c>
      <c r="F27" s="588">
        <f>'17.melléklet.felhaszn.ütemterve'!E29</f>
        <v>0</v>
      </c>
      <c r="G27" s="588">
        <f>'17.melléklet.felhaszn.ütemterve'!F29</f>
        <v>0</v>
      </c>
      <c r="H27" s="588">
        <f>'17.melléklet.felhaszn.ütemterve'!G29</f>
        <v>0</v>
      </c>
      <c r="I27" s="588">
        <f>'17.melléklet.felhaszn.ütemterve'!H29</f>
        <v>0</v>
      </c>
      <c r="J27" s="588">
        <f>'17.melléklet.felhaszn.ütemterve'!I29</f>
        <v>0</v>
      </c>
      <c r="K27" s="588">
        <f>'17.melléklet.felhaszn.ütemterve'!J29</f>
        <v>1000000</v>
      </c>
      <c r="L27" s="588">
        <f>'17.melléklet.felhaszn.ütemterve'!K29</f>
        <v>1000000</v>
      </c>
      <c r="M27" s="588">
        <f>'17.melléklet.felhaszn.ütemterve'!L29</f>
        <v>1000000</v>
      </c>
      <c r="N27" s="588">
        <f>'17.melléklet.felhaszn.ütemterve'!M29</f>
        <v>0</v>
      </c>
      <c r="O27" s="588">
        <f t="shared" si="13"/>
        <v>5000000</v>
      </c>
    </row>
    <row r="28" spans="1:17" x14ac:dyDescent="0.2">
      <c r="A28" s="598" t="s">
        <v>142</v>
      </c>
      <c r="B28" s="596" t="s">
        <v>410</v>
      </c>
      <c r="C28" s="588">
        <f>'17.melléklet.felhaszn.ütemterve'!B30</f>
        <v>21732794</v>
      </c>
      <c r="D28" s="588">
        <v>0</v>
      </c>
      <c r="E28" s="588">
        <v>0</v>
      </c>
      <c r="F28" s="588">
        <v>0</v>
      </c>
      <c r="G28" s="588">
        <v>2586370</v>
      </c>
      <c r="H28" s="588">
        <v>0</v>
      </c>
      <c r="I28" s="588">
        <v>0</v>
      </c>
      <c r="J28" s="588">
        <v>0</v>
      </c>
      <c r="K28" s="588">
        <v>0</v>
      </c>
      <c r="L28" s="588">
        <v>0</v>
      </c>
      <c r="M28" s="588">
        <v>0</v>
      </c>
      <c r="N28" s="588">
        <v>0</v>
      </c>
      <c r="O28" s="588">
        <f t="shared" si="13"/>
        <v>24319164</v>
      </c>
    </row>
    <row r="29" spans="1:17" x14ac:dyDescent="0.2">
      <c r="A29" s="598" t="s">
        <v>143</v>
      </c>
      <c r="B29" s="592" t="s">
        <v>411</v>
      </c>
      <c r="C29" s="592">
        <f>SUM(C20:C28)</f>
        <v>225287297.02380949</v>
      </c>
      <c r="D29" s="592">
        <f t="shared" ref="D29:N29" si="17">SUM(D20:D28)</f>
        <v>204554503.02380949</v>
      </c>
      <c r="E29" s="592">
        <f t="shared" si="17"/>
        <v>308752495.52380955</v>
      </c>
      <c r="F29" s="592">
        <f t="shared" si="17"/>
        <v>203554503.02380949</v>
      </c>
      <c r="G29" s="592">
        <f t="shared" si="17"/>
        <v>206140873.02380949</v>
      </c>
      <c r="H29" s="592">
        <f t="shared" si="17"/>
        <v>203554503.02380949</v>
      </c>
      <c r="I29" s="592">
        <f t="shared" si="17"/>
        <v>203554503.02380949</v>
      </c>
      <c r="J29" s="592">
        <f t="shared" si="17"/>
        <v>138892061.16666666</v>
      </c>
      <c r="K29" s="592">
        <f t="shared" si="17"/>
        <v>85136271.166666657</v>
      </c>
      <c r="L29" s="592">
        <f t="shared" si="17"/>
        <v>86111229.166666657</v>
      </c>
      <c r="M29" s="592">
        <f t="shared" si="17"/>
        <v>85136271.166666657</v>
      </c>
      <c r="N29" s="592">
        <f t="shared" si="17"/>
        <v>84136271.166666657</v>
      </c>
      <c r="O29" s="589">
        <f t="shared" si="13"/>
        <v>2034810781.5</v>
      </c>
      <c r="P29" s="595"/>
      <c r="Q29" s="519"/>
    </row>
    <row r="30" spans="1:17" x14ac:dyDescent="0.2">
      <c r="A30" s="598" t="s">
        <v>144</v>
      </c>
      <c r="B30" s="819"/>
      <c r="C30" s="820"/>
      <c r="D30" s="820"/>
      <c r="E30" s="820"/>
      <c r="F30" s="820"/>
      <c r="G30" s="820"/>
      <c r="H30" s="820"/>
      <c r="I30" s="820"/>
      <c r="J30" s="820"/>
      <c r="K30" s="820"/>
      <c r="L30" s="820"/>
      <c r="M30" s="820"/>
      <c r="N30" s="820"/>
      <c r="O30" s="821"/>
      <c r="Q30" s="519"/>
    </row>
    <row r="31" spans="1:17" x14ac:dyDescent="0.2">
      <c r="A31" s="598" t="s">
        <v>145</v>
      </c>
      <c r="B31" s="591" t="s">
        <v>412</v>
      </c>
      <c r="C31" s="592">
        <f ca="1">C17-C29</f>
        <v>318075005.64285713</v>
      </c>
      <c r="D31" s="592">
        <f t="shared" ref="D31:M31" ca="1" si="18">D17-D29</f>
        <v>256909408.28571433</v>
      </c>
      <c r="E31" s="592">
        <f t="shared" ca="1" si="18"/>
        <v>91545818.428571463</v>
      </c>
      <c r="F31" s="592">
        <f t="shared" ca="1" si="18"/>
        <v>31380221.071428627</v>
      </c>
      <c r="G31" s="592">
        <f t="shared" ca="1" si="18"/>
        <v>700553.71428582072</v>
      </c>
      <c r="H31" s="592">
        <f t="shared" ca="1" si="18"/>
        <v>-59465043.642857015</v>
      </c>
      <c r="I31" s="592">
        <f t="shared" ca="1" si="18"/>
        <v>-119630640.99999985</v>
      </c>
      <c r="J31" s="592">
        <f t="shared" ca="1" si="18"/>
        <v>-115133796.49999985</v>
      </c>
      <c r="K31" s="592">
        <f t="shared" ca="1" si="18"/>
        <v>-56881161.999999851</v>
      </c>
      <c r="L31" s="592">
        <f t="shared" ca="1" si="18"/>
        <v>396514.50000014901</v>
      </c>
      <c r="M31" s="592">
        <f t="shared" ca="1" si="18"/>
        <v>58849149.000000149</v>
      </c>
      <c r="N31" s="592">
        <f ca="1">N17-N29</f>
        <v>118101783.50000015</v>
      </c>
      <c r="O31" s="592"/>
      <c r="P31" s="595"/>
      <c r="Q31" s="519"/>
    </row>
  </sheetData>
  <mergeCells count="5">
    <mergeCell ref="B18:O19"/>
    <mergeCell ref="B30:O30"/>
    <mergeCell ref="B2:O2"/>
    <mergeCell ref="B6:O7"/>
    <mergeCell ref="B16:O16"/>
  </mergeCells>
  <printOptions horizontalCentered="1"/>
  <pageMargins left="0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X16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Q13" sqref="Q13:R16"/>
    </sheetView>
  </sheetViews>
  <sheetFormatPr defaultColWidth="9.28515625" defaultRowHeight="15" x14ac:dyDescent="0.25"/>
  <cols>
    <col min="1" max="1" width="6.28515625" style="45" customWidth="1"/>
    <col min="2" max="2" width="13.140625" style="45" customWidth="1"/>
    <col min="3" max="3" width="31.28515625" style="45" bestFit="1" customWidth="1"/>
    <col min="4" max="4" width="12.7109375" style="45" customWidth="1"/>
    <col min="5" max="5" width="9.5703125" style="45" bestFit="1" customWidth="1"/>
    <col min="6" max="6" width="10.5703125" style="45" bestFit="1" customWidth="1"/>
    <col min="7" max="7" width="7.85546875" style="45" bestFit="1" customWidth="1"/>
    <col min="8" max="8" width="10.5703125" style="45" bestFit="1" customWidth="1"/>
    <col min="9" max="9" width="10.140625" style="45" customWidth="1"/>
    <col min="10" max="10" width="10.5703125" style="45" bestFit="1" customWidth="1"/>
    <col min="11" max="11" width="7.85546875" style="45" bestFit="1" customWidth="1"/>
    <col min="12" max="12" width="9.5703125" style="45" bestFit="1" customWidth="1"/>
    <col min="13" max="13" width="7.85546875" style="45" bestFit="1" customWidth="1"/>
    <col min="14" max="14" width="10.5703125" style="45" customWidth="1"/>
    <col min="15" max="15" width="7.85546875" style="45" bestFit="1" customWidth="1"/>
    <col min="16" max="16" width="10.85546875" style="45" bestFit="1" customWidth="1"/>
    <col min="17" max="17" width="11.5703125" style="45" customWidth="1"/>
    <col min="18" max="18" width="11.140625" style="45" bestFit="1" customWidth="1"/>
    <col min="19" max="19" width="8.85546875" style="45" bestFit="1" customWidth="1"/>
    <col min="20" max="20" width="12.5703125" style="45" customWidth="1"/>
    <col min="21" max="22" width="0" style="45" hidden="1" customWidth="1"/>
    <col min="23" max="23" width="11.28515625" style="45" bestFit="1" customWidth="1"/>
    <col min="24" max="16384" width="9.28515625" style="45"/>
  </cols>
  <sheetData>
    <row r="1" spans="1:24" s="738" customFormat="1" x14ac:dyDescent="0.25"/>
    <row r="2" spans="1:24" x14ac:dyDescent="0.25">
      <c r="A2" s="739" t="s">
        <v>556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</row>
    <row r="3" spans="1:24" ht="74.25" customHeight="1" x14ac:dyDescent="0.25">
      <c r="A3" s="103"/>
      <c r="B3" s="103"/>
      <c r="C3" s="740" t="s">
        <v>479</v>
      </c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  <c r="P3" s="740"/>
      <c r="Q3" s="740"/>
      <c r="R3" s="740"/>
      <c r="S3" s="740"/>
      <c r="T3" s="740"/>
      <c r="U3" s="740"/>
      <c r="V3" s="740"/>
      <c r="W3" s="740"/>
      <c r="X3" s="630"/>
    </row>
    <row r="4" spans="1:24" ht="43.5" customHeight="1" x14ac:dyDescent="0.25">
      <c r="A4" s="59" t="s">
        <v>57</v>
      </c>
      <c r="B4" s="59" t="s">
        <v>65</v>
      </c>
      <c r="C4" s="105" t="s">
        <v>58</v>
      </c>
      <c r="D4" s="737" t="s">
        <v>59</v>
      </c>
      <c r="E4" s="737"/>
      <c r="F4" s="737" t="s">
        <v>60</v>
      </c>
      <c r="G4" s="737"/>
      <c r="H4" s="737" t="s">
        <v>67</v>
      </c>
      <c r="I4" s="737"/>
      <c r="J4" s="737" t="s">
        <v>69</v>
      </c>
      <c r="K4" s="737"/>
      <c r="L4" s="737" t="s">
        <v>70</v>
      </c>
      <c r="M4" s="737"/>
      <c r="N4" s="737" t="s">
        <v>71</v>
      </c>
      <c r="O4" s="737"/>
      <c r="P4" s="737" t="s">
        <v>72</v>
      </c>
      <c r="Q4" s="737"/>
      <c r="R4" s="737" t="s">
        <v>104</v>
      </c>
      <c r="S4" s="737"/>
      <c r="T4" s="737" t="s">
        <v>98</v>
      </c>
      <c r="U4" s="737"/>
      <c r="V4" s="737"/>
      <c r="W4" s="737"/>
    </row>
    <row r="5" spans="1:24" ht="81.75" customHeight="1" x14ac:dyDescent="0.25">
      <c r="A5" s="104" t="s">
        <v>1</v>
      </c>
      <c r="B5" s="47" t="s">
        <v>73</v>
      </c>
      <c r="C5" s="48" t="s">
        <v>74</v>
      </c>
      <c r="D5" s="736" t="s">
        <v>63</v>
      </c>
      <c r="E5" s="736"/>
      <c r="F5" s="736" t="s">
        <v>62</v>
      </c>
      <c r="G5" s="736"/>
      <c r="H5" s="736" t="s">
        <v>76</v>
      </c>
      <c r="I5" s="736"/>
      <c r="J5" s="736" t="s">
        <v>77</v>
      </c>
      <c r="K5" s="736"/>
      <c r="L5" s="736" t="s">
        <v>78</v>
      </c>
      <c r="M5" s="736"/>
      <c r="N5" s="736" t="s">
        <v>92</v>
      </c>
      <c r="O5" s="736"/>
      <c r="P5" s="736" t="s">
        <v>93</v>
      </c>
      <c r="Q5" s="736"/>
      <c r="R5" s="736" t="s">
        <v>122</v>
      </c>
      <c r="S5" s="736"/>
      <c r="T5" s="736" t="s">
        <v>80</v>
      </c>
      <c r="U5" s="736"/>
      <c r="V5" s="736"/>
      <c r="W5" s="736"/>
    </row>
    <row r="6" spans="1:24" ht="57" x14ac:dyDescent="0.25">
      <c r="A6" s="104" t="s">
        <v>3</v>
      </c>
      <c r="B6" s="46"/>
      <c r="C6" s="49" t="s">
        <v>94</v>
      </c>
      <c r="D6" s="101" t="s">
        <v>480</v>
      </c>
      <c r="E6" s="14" t="s">
        <v>481</v>
      </c>
      <c r="F6" s="101" t="s">
        <v>480</v>
      </c>
      <c r="G6" s="14" t="s">
        <v>481</v>
      </c>
      <c r="H6" s="101" t="s">
        <v>480</v>
      </c>
      <c r="I6" s="14" t="s">
        <v>481</v>
      </c>
      <c r="J6" s="101" t="s">
        <v>480</v>
      </c>
      <c r="K6" s="14" t="s">
        <v>481</v>
      </c>
      <c r="L6" s="101" t="s">
        <v>480</v>
      </c>
      <c r="M6" s="14" t="s">
        <v>481</v>
      </c>
      <c r="N6" s="101" t="s">
        <v>480</v>
      </c>
      <c r="O6" s="14" t="s">
        <v>481</v>
      </c>
      <c r="P6" s="101" t="s">
        <v>480</v>
      </c>
      <c r="Q6" s="14" t="s">
        <v>481</v>
      </c>
      <c r="R6" s="101" t="s">
        <v>480</v>
      </c>
      <c r="S6" s="14" t="s">
        <v>481</v>
      </c>
      <c r="T6" s="101" t="s">
        <v>480</v>
      </c>
      <c r="U6" s="14" t="s">
        <v>134</v>
      </c>
      <c r="V6" s="101" t="s">
        <v>135</v>
      </c>
      <c r="W6" s="14" t="s">
        <v>481</v>
      </c>
    </row>
    <row r="7" spans="1:24" x14ac:dyDescent="0.25">
      <c r="A7" s="104" t="s">
        <v>4</v>
      </c>
      <c r="B7" s="46" t="s">
        <v>121</v>
      </c>
      <c r="C7" s="51" t="s">
        <v>117</v>
      </c>
      <c r="D7" s="81">
        <v>257750</v>
      </c>
      <c r="E7" s="81">
        <v>408642</v>
      </c>
      <c r="F7" s="52"/>
      <c r="G7" s="52"/>
      <c r="H7" s="81"/>
      <c r="I7" s="81"/>
      <c r="J7" s="81"/>
      <c r="K7" s="81"/>
      <c r="L7" s="81"/>
      <c r="M7" s="81"/>
      <c r="N7" s="81"/>
      <c r="O7" s="81"/>
      <c r="P7" s="82">
        <v>13956185</v>
      </c>
      <c r="Q7" s="82">
        <f>P7</f>
        <v>13956185</v>
      </c>
      <c r="R7" s="82"/>
      <c r="S7" s="82"/>
      <c r="T7" s="83">
        <f>D7+F7+H7+J7+L7+P7</f>
        <v>14213935</v>
      </c>
      <c r="U7" s="83">
        <f t="shared" ref="U7:V7" si="0">E7+G7+I7+K7+M7+Q7</f>
        <v>14364827</v>
      </c>
      <c r="V7" s="83">
        <f t="shared" si="0"/>
        <v>0</v>
      </c>
      <c r="W7" s="83">
        <f>E7+G7+I7+K7+M7+O7+Q7+S7</f>
        <v>14364827</v>
      </c>
    </row>
    <row r="8" spans="1:24" x14ac:dyDescent="0.25">
      <c r="A8" s="104" t="s">
        <v>5</v>
      </c>
      <c r="B8" s="46" t="s">
        <v>81</v>
      </c>
      <c r="C8" s="51" t="s">
        <v>95</v>
      </c>
      <c r="D8" s="82"/>
      <c r="E8" s="82">
        <f>D8</f>
        <v>0</v>
      </c>
      <c r="F8" s="81"/>
      <c r="G8" s="81"/>
      <c r="H8" s="81"/>
      <c r="I8" s="81">
        <f>2311376+3746085</f>
        <v>6057461</v>
      </c>
      <c r="J8" s="81"/>
      <c r="K8" s="81"/>
      <c r="L8" s="81"/>
      <c r="M8" s="81"/>
      <c r="N8" s="81"/>
      <c r="O8" s="81"/>
      <c r="P8" s="82">
        <v>107230437</v>
      </c>
      <c r="Q8" s="106">
        <v>106148825</v>
      </c>
      <c r="R8" s="82">
        <v>179306</v>
      </c>
      <c r="S8" s="106">
        <v>197866</v>
      </c>
      <c r="T8" s="83">
        <f>D8+F8+H8+J8+L8+P8+R8</f>
        <v>107409743</v>
      </c>
      <c r="U8" s="84">
        <v>218</v>
      </c>
      <c r="V8" s="84">
        <f>1673+87</f>
        <v>1760</v>
      </c>
      <c r="W8" s="142">
        <f>E8+G8+I8+K8+M8+O8+Q8+S8</f>
        <v>112404152</v>
      </c>
    </row>
    <row r="9" spans="1:24" ht="15.75" x14ac:dyDescent="0.25">
      <c r="A9" s="104" t="s">
        <v>7</v>
      </c>
      <c r="B9" s="46"/>
      <c r="C9" s="49" t="s">
        <v>96</v>
      </c>
      <c r="D9" s="83">
        <f>SUM(D7:D8)</f>
        <v>257750</v>
      </c>
      <c r="E9" s="83">
        <f t="shared" ref="E9:T9" si="1">SUM(E7:E8)</f>
        <v>408642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6057461</v>
      </c>
      <c r="J9" s="83">
        <f t="shared" si="1"/>
        <v>0</v>
      </c>
      <c r="K9" s="83">
        <f t="shared" si="1"/>
        <v>0</v>
      </c>
      <c r="L9" s="83">
        <f t="shared" si="1"/>
        <v>0</v>
      </c>
      <c r="M9" s="83">
        <f t="shared" si="1"/>
        <v>0</v>
      </c>
      <c r="N9" s="83">
        <f t="shared" si="1"/>
        <v>0</v>
      </c>
      <c r="O9" s="83">
        <f t="shared" si="1"/>
        <v>0</v>
      </c>
      <c r="P9" s="142">
        <f t="shared" si="1"/>
        <v>121186622</v>
      </c>
      <c r="Q9" s="142">
        <f t="shared" si="1"/>
        <v>120105010</v>
      </c>
      <c r="R9" s="142">
        <f t="shared" si="1"/>
        <v>179306</v>
      </c>
      <c r="S9" s="142">
        <f t="shared" si="1"/>
        <v>197866</v>
      </c>
      <c r="T9" s="142">
        <f t="shared" si="1"/>
        <v>121623678</v>
      </c>
      <c r="U9" s="142"/>
      <c r="V9" s="142"/>
      <c r="W9" s="142">
        <f>E9+G9+I9+K9+M9+O9+Q9+S9</f>
        <v>126768979</v>
      </c>
    </row>
    <row r="10" spans="1:24" x14ac:dyDescent="0.25">
      <c r="A10" s="104" t="s">
        <v>18</v>
      </c>
      <c r="B10" s="53"/>
      <c r="C10" s="53" t="s">
        <v>97</v>
      </c>
      <c r="D10" s="84">
        <f t="shared" ref="D10:W10" si="2">SUMIF($B7:$B8,"kötelező",D7:D8)</f>
        <v>0</v>
      </c>
      <c r="E10" s="84">
        <f t="shared" si="2"/>
        <v>0</v>
      </c>
      <c r="F10" s="84">
        <f t="shared" si="2"/>
        <v>0</v>
      </c>
      <c r="G10" s="84">
        <f t="shared" si="2"/>
        <v>0</v>
      </c>
      <c r="H10" s="84">
        <f t="shared" si="2"/>
        <v>0</v>
      </c>
      <c r="I10" s="84">
        <f t="shared" si="2"/>
        <v>6057461</v>
      </c>
      <c r="J10" s="84">
        <f t="shared" si="2"/>
        <v>0</v>
      </c>
      <c r="K10" s="84">
        <f t="shared" si="2"/>
        <v>0</v>
      </c>
      <c r="L10" s="84">
        <f t="shared" si="2"/>
        <v>0</v>
      </c>
      <c r="M10" s="84">
        <f t="shared" si="2"/>
        <v>0</v>
      </c>
      <c r="N10" s="84">
        <f t="shared" si="2"/>
        <v>0</v>
      </c>
      <c r="O10" s="84">
        <f t="shared" si="2"/>
        <v>0</v>
      </c>
      <c r="P10" s="143">
        <f t="shared" si="2"/>
        <v>107230437</v>
      </c>
      <c r="Q10" s="143">
        <f t="shared" si="2"/>
        <v>106148825</v>
      </c>
      <c r="R10" s="143">
        <f t="shared" si="2"/>
        <v>179306</v>
      </c>
      <c r="S10" s="143">
        <f t="shared" si="2"/>
        <v>197866</v>
      </c>
      <c r="T10" s="143">
        <f t="shared" si="2"/>
        <v>107409743</v>
      </c>
      <c r="U10" s="143">
        <f t="shared" si="2"/>
        <v>218</v>
      </c>
      <c r="V10" s="143">
        <f t="shared" si="2"/>
        <v>1760</v>
      </c>
      <c r="W10" s="143">
        <f t="shared" si="2"/>
        <v>112404152</v>
      </c>
    </row>
    <row r="11" spans="1:24" x14ac:dyDescent="0.25">
      <c r="A11" s="104" t="s">
        <v>20</v>
      </c>
      <c r="B11" s="53"/>
      <c r="C11" s="53" t="s">
        <v>120</v>
      </c>
      <c r="D11" s="84">
        <f t="shared" ref="D11:W11" si="3">SUMIF($B7:$B8,"államigazgatási",D7:D8)</f>
        <v>257750</v>
      </c>
      <c r="E11" s="84">
        <f t="shared" si="3"/>
        <v>408642</v>
      </c>
      <c r="F11" s="84">
        <f t="shared" si="3"/>
        <v>0</v>
      </c>
      <c r="G11" s="84">
        <f t="shared" si="3"/>
        <v>0</v>
      </c>
      <c r="H11" s="84">
        <f t="shared" si="3"/>
        <v>0</v>
      </c>
      <c r="I11" s="84">
        <f t="shared" si="3"/>
        <v>0</v>
      </c>
      <c r="J11" s="84">
        <f t="shared" si="3"/>
        <v>0</v>
      </c>
      <c r="K11" s="84">
        <f t="shared" si="3"/>
        <v>0</v>
      </c>
      <c r="L11" s="84">
        <f t="shared" si="3"/>
        <v>0</v>
      </c>
      <c r="M11" s="84">
        <f t="shared" si="3"/>
        <v>0</v>
      </c>
      <c r="N11" s="84">
        <f t="shared" si="3"/>
        <v>0</v>
      </c>
      <c r="O11" s="84">
        <f t="shared" si="3"/>
        <v>0</v>
      </c>
      <c r="P11" s="84">
        <f t="shared" si="3"/>
        <v>13956185</v>
      </c>
      <c r="Q11" s="84">
        <f t="shared" si="3"/>
        <v>13956185</v>
      </c>
      <c r="R11" s="84">
        <f t="shared" si="3"/>
        <v>0</v>
      </c>
      <c r="S11" s="84">
        <f t="shared" si="3"/>
        <v>0</v>
      </c>
      <c r="T11" s="84">
        <f t="shared" si="3"/>
        <v>14213935</v>
      </c>
      <c r="U11" s="84">
        <f t="shared" si="3"/>
        <v>14364827</v>
      </c>
      <c r="V11" s="84">
        <f t="shared" si="3"/>
        <v>0</v>
      </c>
      <c r="W11" s="84">
        <f t="shared" si="3"/>
        <v>14364827</v>
      </c>
    </row>
    <row r="13" spans="1:24" x14ac:dyDescent="0.25">
      <c r="Q13" s="73"/>
    </row>
    <row r="15" spans="1:24" x14ac:dyDescent="0.25">
      <c r="Q15" s="73"/>
    </row>
    <row r="16" spans="1:24" x14ac:dyDescent="0.25">
      <c r="R16" s="73"/>
    </row>
  </sheetData>
  <mergeCells count="21">
    <mergeCell ref="P5:Q5"/>
    <mergeCell ref="N4:O4"/>
    <mergeCell ref="P4:Q4"/>
    <mergeCell ref="R4:S4"/>
    <mergeCell ref="A1:XFD1"/>
    <mergeCell ref="A2:T2"/>
    <mergeCell ref="T4:W4"/>
    <mergeCell ref="T5:W5"/>
    <mergeCell ref="C3:W3"/>
    <mergeCell ref="D4:E4"/>
    <mergeCell ref="F4:G4"/>
    <mergeCell ref="H4:I4"/>
    <mergeCell ref="J4:K4"/>
    <mergeCell ref="L4:M4"/>
    <mergeCell ref="R5:S5"/>
    <mergeCell ref="D5:E5"/>
    <mergeCell ref="F5:G5"/>
    <mergeCell ref="H5:I5"/>
    <mergeCell ref="J5:K5"/>
    <mergeCell ref="L5:M5"/>
    <mergeCell ref="N5:O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W23"/>
  <sheetViews>
    <sheetView zoomScaleNormal="100" zoomScaleSheetLayoutView="100" workbookViewId="0">
      <pane xSplit="3" ySplit="7" topLeftCell="D8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ColWidth="9.28515625" defaultRowHeight="15" x14ac:dyDescent="0.25"/>
  <cols>
    <col min="1" max="1" width="5.28515625" style="54" customWidth="1"/>
    <col min="2" max="2" width="10" style="54" customWidth="1"/>
    <col min="3" max="3" width="36" style="54" customWidth="1"/>
    <col min="4" max="5" width="11.7109375" style="54" bestFit="1" customWidth="1"/>
    <col min="6" max="6" width="7.42578125" style="54" customWidth="1"/>
    <col min="7" max="7" width="6.85546875" style="54" customWidth="1"/>
    <col min="8" max="8" width="7.85546875" style="54" customWidth="1"/>
    <col min="9" max="9" width="10.7109375" style="54" customWidth="1"/>
    <col min="10" max="10" width="10.7109375" style="54" bestFit="1" customWidth="1"/>
    <col min="11" max="11" width="8.28515625" style="54" bestFit="1" customWidth="1"/>
    <col min="12" max="12" width="10.7109375" style="54" bestFit="1" customWidth="1"/>
    <col min="13" max="13" width="10.85546875" style="54" customWidth="1"/>
    <col min="14" max="14" width="10.5703125" style="54" bestFit="1" customWidth="1"/>
    <col min="15" max="15" width="8.28515625" style="54" bestFit="1" customWidth="1"/>
    <col min="16" max="17" width="12.42578125" style="54" bestFit="1" customWidth="1"/>
    <col min="18" max="18" width="10.5703125" style="54" bestFit="1" customWidth="1"/>
    <col min="19" max="19" width="10.5703125" style="54" customWidth="1"/>
    <col min="20" max="20" width="13.42578125" style="54" customWidth="1"/>
    <col min="21" max="21" width="0" style="55" hidden="1" customWidth="1"/>
    <col min="22" max="22" width="12.42578125" style="54" bestFit="1" customWidth="1"/>
    <col min="23" max="23" width="10.85546875" style="54" bestFit="1" customWidth="1"/>
    <col min="24" max="16384" width="9.28515625" style="54"/>
  </cols>
  <sheetData>
    <row r="1" spans="1:23" s="617" customFormat="1" x14ac:dyDescent="0.25">
      <c r="A1" s="652"/>
    </row>
    <row r="2" spans="1:23" x14ac:dyDescent="0.25">
      <c r="A2" s="616"/>
      <c r="H2" s="695"/>
      <c r="N2" s="619" t="s">
        <v>491</v>
      </c>
      <c r="O2" s="45"/>
      <c r="P2" s="45"/>
      <c r="Q2" s="45"/>
      <c r="R2" s="45"/>
      <c r="S2" s="45"/>
    </row>
    <row r="3" spans="1:23" ht="18.75" x14ac:dyDescent="0.25">
      <c r="A3" s="103"/>
      <c r="B3" s="103"/>
      <c r="C3" s="742" t="s">
        <v>560</v>
      </c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2"/>
      <c r="R3" s="742"/>
      <c r="S3" s="742"/>
      <c r="T3" s="742"/>
      <c r="U3" s="742"/>
      <c r="V3" s="742"/>
      <c r="W3" s="58"/>
    </row>
    <row r="4" spans="1:23" s="695" customFormat="1" ht="18.75" x14ac:dyDescent="0.25">
      <c r="A4" s="103"/>
      <c r="B4" s="103"/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714" t="s">
        <v>561</v>
      </c>
      <c r="U4" s="694"/>
      <c r="V4" s="694"/>
      <c r="W4" s="58"/>
    </row>
    <row r="5" spans="1:23" x14ac:dyDescent="0.25">
      <c r="A5" s="59" t="s">
        <v>57</v>
      </c>
      <c r="B5" s="59" t="s">
        <v>65</v>
      </c>
      <c r="C5" s="62" t="s">
        <v>58</v>
      </c>
      <c r="D5" s="741" t="s">
        <v>59</v>
      </c>
      <c r="E5" s="741"/>
      <c r="F5" s="741" t="s">
        <v>60</v>
      </c>
      <c r="G5" s="741"/>
      <c r="H5" s="741" t="s">
        <v>67</v>
      </c>
      <c r="I5" s="741"/>
      <c r="J5" s="741" t="s">
        <v>69</v>
      </c>
      <c r="K5" s="741"/>
      <c r="L5" s="741" t="s">
        <v>70</v>
      </c>
      <c r="M5" s="741"/>
      <c r="N5" s="741" t="s">
        <v>71</v>
      </c>
      <c r="O5" s="741"/>
      <c r="P5" s="741" t="s">
        <v>72</v>
      </c>
      <c r="Q5" s="741"/>
      <c r="R5" s="741" t="s">
        <v>104</v>
      </c>
      <c r="S5" s="741"/>
      <c r="T5" s="741" t="s">
        <v>98</v>
      </c>
      <c r="U5" s="741"/>
      <c r="V5" s="741"/>
    </row>
    <row r="6" spans="1:23" ht="57" customHeight="1" x14ac:dyDescent="0.25">
      <c r="A6" s="107"/>
      <c r="B6" s="108" t="s">
        <v>101</v>
      </c>
      <c r="C6" s="49" t="s">
        <v>74</v>
      </c>
      <c r="D6" s="736" t="s">
        <v>63</v>
      </c>
      <c r="E6" s="736"/>
      <c r="F6" s="736" t="s">
        <v>62</v>
      </c>
      <c r="G6" s="736"/>
      <c r="H6" s="736" t="s">
        <v>76</v>
      </c>
      <c r="I6" s="736"/>
      <c r="J6" s="736" t="s">
        <v>77</v>
      </c>
      <c r="K6" s="736"/>
      <c r="L6" s="736" t="s">
        <v>78</v>
      </c>
      <c r="M6" s="736"/>
      <c r="N6" s="736" t="s">
        <v>92</v>
      </c>
      <c r="O6" s="736"/>
      <c r="P6" s="736" t="s">
        <v>93</v>
      </c>
      <c r="Q6" s="736"/>
      <c r="R6" s="736" t="s">
        <v>122</v>
      </c>
      <c r="S6" s="736"/>
      <c r="T6" s="736" t="s">
        <v>80</v>
      </c>
      <c r="U6" s="736"/>
      <c r="V6" s="736"/>
    </row>
    <row r="7" spans="1:23" ht="63.75" customHeight="1" x14ac:dyDescent="0.25">
      <c r="A7" s="107"/>
      <c r="B7" s="56"/>
      <c r="C7" s="49" t="s">
        <v>449</v>
      </c>
      <c r="D7" s="101" t="s">
        <v>480</v>
      </c>
      <c r="E7" s="14" t="s">
        <v>481</v>
      </c>
      <c r="F7" s="661" t="s">
        <v>480</v>
      </c>
      <c r="G7" s="14" t="s">
        <v>481</v>
      </c>
      <c r="H7" s="661" t="s">
        <v>480</v>
      </c>
      <c r="I7" s="14" t="s">
        <v>481</v>
      </c>
      <c r="J7" s="661" t="s">
        <v>480</v>
      </c>
      <c r="K7" s="14" t="s">
        <v>481</v>
      </c>
      <c r="L7" s="661" t="s">
        <v>480</v>
      </c>
      <c r="M7" s="14" t="s">
        <v>481</v>
      </c>
      <c r="N7" s="661" t="s">
        <v>480</v>
      </c>
      <c r="O7" s="14" t="s">
        <v>481</v>
      </c>
      <c r="P7" s="661" t="s">
        <v>480</v>
      </c>
      <c r="Q7" s="14" t="s">
        <v>481</v>
      </c>
      <c r="R7" s="661" t="s">
        <v>480</v>
      </c>
      <c r="S7" s="14" t="s">
        <v>481</v>
      </c>
      <c r="T7" s="661" t="s">
        <v>480</v>
      </c>
      <c r="U7" s="14" t="s">
        <v>481</v>
      </c>
      <c r="V7" s="14" t="s">
        <v>481</v>
      </c>
    </row>
    <row r="8" spans="1:23" x14ac:dyDescent="0.25">
      <c r="A8" s="107">
        <v>1</v>
      </c>
      <c r="B8" s="628" t="s">
        <v>81</v>
      </c>
      <c r="C8" s="125" t="s">
        <v>192</v>
      </c>
      <c r="D8" s="127"/>
      <c r="E8" s="128"/>
      <c r="F8" s="127"/>
      <c r="G8" s="128"/>
      <c r="H8" s="127"/>
      <c r="I8" s="128"/>
      <c r="J8" s="127"/>
      <c r="K8" s="128"/>
      <c r="L8" s="127"/>
      <c r="M8" s="128"/>
      <c r="N8" s="127"/>
      <c r="O8" s="128"/>
      <c r="P8" s="127">
        <v>23761378</v>
      </c>
      <c r="Q8" s="128">
        <f>956054+P8</f>
        <v>24717432</v>
      </c>
      <c r="R8" s="126"/>
      <c r="S8" s="128"/>
      <c r="T8" s="127">
        <f>D8+F8+H8+J8+L8+N8+P8+R8</f>
        <v>23761378</v>
      </c>
      <c r="U8" s="15"/>
      <c r="V8" s="128">
        <f>E8+G8+I8+K8+M8+O8+Q8+S8</f>
        <v>24717432</v>
      </c>
    </row>
    <row r="9" spans="1:23" s="662" customFormat="1" ht="26.25" x14ac:dyDescent="0.25">
      <c r="A9" s="107">
        <v>1</v>
      </c>
      <c r="B9" s="628" t="s">
        <v>82</v>
      </c>
      <c r="C9" s="125" t="s">
        <v>192</v>
      </c>
      <c r="D9" s="127"/>
      <c r="E9" s="128"/>
      <c r="F9" s="127"/>
      <c r="G9" s="128"/>
      <c r="H9" s="127"/>
      <c r="I9" s="128"/>
      <c r="J9" s="127"/>
      <c r="K9" s="128"/>
      <c r="L9" s="127"/>
      <c r="M9" s="128"/>
      <c r="N9" s="127"/>
      <c r="O9" s="128"/>
      <c r="P9" s="127">
        <v>158452026</v>
      </c>
      <c r="Q9" s="128">
        <f>10514546+P9+5339895+12502713+3339316</f>
        <v>190148496</v>
      </c>
      <c r="R9" s="126">
        <v>1855656</v>
      </c>
      <c r="S9" s="128">
        <f>174384+R9</f>
        <v>2030040</v>
      </c>
      <c r="T9" s="127">
        <f t="shared" ref="T9:T19" si="0">D9+F9+H9+J9+L9+N9+P9+R9</f>
        <v>160307682</v>
      </c>
      <c r="U9" s="15"/>
      <c r="V9" s="128">
        <f t="shared" ref="V9:V19" si="1">E9+G9+I9+K9+M9+O9+Q9+S9</f>
        <v>192178536</v>
      </c>
    </row>
    <row r="10" spans="1:23" x14ac:dyDescent="0.25">
      <c r="A10" s="107">
        <v>1</v>
      </c>
      <c r="B10" s="629" t="s">
        <v>82</v>
      </c>
      <c r="C10" s="51" t="s">
        <v>475</v>
      </c>
      <c r="D10" s="86">
        <v>35989626</v>
      </c>
      <c r="E10" s="86">
        <v>34567746</v>
      </c>
      <c r="F10" s="86"/>
      <c r="G10" s="86"/>
      <c r="H10" s="81"/>
      <c r="I10" s="81"/>
      <c r="J10" s="81"/>
      <c r="K10" s="81"/>
      <c r="L10" s="81">
        <v>1750000</v>
      </c>
      <c r="M10" s="81">
        <v>2022000</v>
      </c>
      <c r="N10" s="81"/>
      <c r="O10" s="81"/>
      <c r="P10" s="82"/>
      <c r="Q10" s="82"/>
      <c r="R10" s="82"/>
      <c r="S10" s="82"/>
      <c r="T10" s="127">
        <f t="shared" si="0"/>
        <v>37739626</v>
      </c>
      <c r="U10" s="83">
        <f t="shared" ref="U10" si="2">E10+G10+I10+K10+M10+O10+Q10</f>
        <v>36589746</v>
      </c>
      <c r="V10" s="128">
        <f t="shared" si="1"/>
        <v>36589746</v>
      </c>
    </row>
    <row r="11" spans="1:23" ht="25.5" x14ac:dyDescent="0.25">
      <c r="A11" s="107">
        <v>1</v>
      </c>
      <c r="B11" s="629" t="s">
        <v>82</v>
      </c>
      <c r="C11" s="664" t="s">
        <v>476</v>
      </c>
      <c r="D11" s="86">
        <v>39306128</v>
      </c>
      <c r="E11" s="86">
        <v>40538502</v>
      </c>
      <c r="F11" s="86"/>
      <c r="G11" s="86"/>
      <c r="H11" s="81"/>
      <c r="I11" s="81"/>
      <c r="J11" s="81"/>
      <c r="K11" s="81"/>
      <c r="L11" s="81"/>
      <c r="M11" s="81"/>
      <c r="N11" s="81"/>
      <c r="O11" s="81"/>
      <c r="P11" s="82"/>
      <c r="Q11" s="82"/>
      <c r="R11" s="82"/>
      <c r="S11" s="82"/>
      <c r="T11" s="127">
        <f t="shared" si="0"/>
        <v>39306128</v>
      </c>
      <c r="U11" s="83"/>
      <c r="V11" s="128">
        <f t="shared" si="1"/>
        <v>40538502</v>
      </c>
      <c r="W11" s="55"/>
    </row>
    <row r="12" spans="1:23" x14ac:dyDescent="0.25">
      <c r="A12" s="107">
        <v>1</v>
      </c>
      <c r="B12" s="629" t="s">
        <v>81</v>
      </c>
      <c r="C12" s="51" t="s">
        <v>236</v>
      </c>
      <c r="D12" s="85">
        <v>2000</v>
      </c>
      <c r="E12" s="85">
        <f t="shared" ref="E12:E15" si="3">D12</f>
        <v>2000</v>
      </c>
      <c r="F12" s="85"/>
      <c r="G12" s="85"/>
      <c r="H12" s="81"/>
      <c r="I12" s="81"/>
      <c r="J12" s="81"/>
      <c r="K12" s="81"/>
      <c r="L12" s="81"/>
      <c r="M12" s="81"/>
      <c r="N12" s="81"/>
      <c r="O12" s="81"/>
      <c r="P12" s="82"/>
      <c r="Q12" s="82"/>
      <c r="R12" s="82"/>
      <c r="S12" s="82"/>
      <c r="T12" s="127">
        <f t="shared" si="0"/>
        <v>2000</v>
      </c>
      <c r="U12" s="109">
        <v>4</v>
      </c>
      <c r="V12" s="128">
        <f t="shared" si="1"/>
        <v>2000</v>
      </c>
      <c r="W12" s="55"/>
    </row>
    <row r="13" spans="1:23" x14ac:dyDescent="0.25">
      <c r="A13" s="107">
        <v>1</v>
      </c>
      <c r="B13" s="629" t="s">
        <v>81</v>
      </c>
      <c r="C13" s="51" t="s">
        <v>477</v>
      </c>
      <c r="D13" s="85">
        <v>1840</v>
      </c>
      <c r="E13" s="85">
        <f t="shared" si="3"/>
        <v>1840</v>
      </c>
      <c r="F13" s="85"/>
      <c r="G13" s="85"/>
      <c r="H13" s="81"/>
      <c r="I13" s="81"/>
      <c r="J13" s="81"/>
      <c r="K13" s="81"/>
      <c r="L13" s="81"/>
      <c r="M13" s="81"/>
      <c r="N13" s="81"/>
      <c r="O13" s="81"/>
      <c r="P13" s="82"/>
      <c r="Q13" s="82"/>
      <c r="R13" s="82"/>
      <c r="S13" s="82"/>
      <c r="T13" s="127">
        <f t="shared" si="0"/>
        <v>1840</v>
      </c>
      <c r="U13" s="109"/>
      <c r="V13" s="128">
        <f t="shared" si="1"/>
        <v>1840</v>
      </c>
    </row>
    <row r="14" spans="1:23" x14ac:dyDescent="0.25">
      <c r="A14" s="107">
        <v>1</v>
      </c>
      <c r="B14" s="629" t="s">
        <v>81</v>
      </c>
      <c r="C14" s="51" t="s">
        <v>478</v>
      </c>
      <c r="D14" s="86">
        <v>6335045</v>
      </c>
      <c r="E14" s="86">
        <v>10308058</v>
      </c>
      <c r="F14" s="85"/>
      <c r="G14" s="85"/>
      <c r="H14" s="81"/>
      <c r="I14" s="81"/>
      <c r="J14" s="81"/>
      <c r="K14" s="81"/>
      <c r="L14" s="81"/>
      <c r="M14" s="81"/>
      <c r="N14" s="81"/>
      <c r="O14" s="81"/>
      <c r="P14" s="82"/>
      <c r="Q14" s="82"/>
      <c r="R14" s="82"/>
      <c r="S14" s="82"/>
      <c r="T14" s="127">
        <f t="shared" si="0"/>
        <v>6335045</v>
      </c>
      <c r="U14" s="109">
        <v>10237</v>
      </c>
      <c r="V14" s="128">
        <f t="shared" si="1"/>
        <v>10308058</v>
      </c>
    </row>
    <row r="15" spans="1:23" x14ac:dyDescent="0.25">
      <c r="A15" s="107">
        <v>1</v>
      </c>
      <c r="B15" s="629" t="s">
        <v>81</v>
      </c>
      <c r="C15" s="51" t="s">
        <v>102</v>
      </c>
      <c r="D15" s="85">
        <v>62675</v>
      </c>
      <c r="E15" s="85">
        <f t="shared" si="3"/>
        <v>62675</v>
      </c>
      <c r="F15" s="85"/>
      <c r="G15" s="85"/>
      <c r="H15" s="81"/>
      <c r="I15" s="81"/>
      <c r="J15" s="81"/>
      <c r="K15" s="81"/>
      <c r="L15" s="81"/>
      <c r="M15" s="81"/>
      <c r="N15" s="81"/>
      <c r="O15" s="81"/>
      <c r="P15" s="82"/>
      <c r="Q15" s="82"/>
      <c r="R15" s="82"/>
      <c r="S15" s="82"/>
      <c r="T15" s="127">
        <f t="shared" si="0"/>
        <v>62675</v>
      </c>
      <c r="U15" s="109"/>
      <c r="V15" s="128">
        <f t="shared" si="1"/>
        <v>62675</v>
      </c>
    </row>
    <row r="16" spans="1:23" x14ac:dyDescent="0.25">
      <c r="A16" s="107">
        <v>1</v>
      </c>
      <c r="B16" s="629" t="s">
        <v>82</v>
      </c>
      <c r="C16" s="51" t="s">
        <v>575</v>
      </c>
      <c r="D16" s="85"/>
      <c r="E16" s="85"/>
      <c r="F16" s="85"/>
      <c r="G16" s="85"/>
      <c r="H16" s="81"/>
      <c r="I16" s="81">
        <v>896736</v>
      </c>
      <c r="J16" s="81"/>
      <c r="K16" s="81"/>
      <c r="L16" s="81"/>
      <c r="M16" s="81"/>
      <c r="N16" s="81"/>
      <c r="O16" s="81"/>
      <c r="P16" s="82"/>
      <c r="Q16" s="82"/>
      <c r="R16" s="82"/>
      <c r="S16" s="82"/>
      <c r="T16" s="127">
        <f t="shared" si="0"/>
        <v>0</v>
      </c>
      <c r="U16" s="109"/>
      <c r="V16" s="128">
        <f t="shared" si="1"/>
        <v>896736</v>
      </c>
    </row>
    <row r="17" spans="1:23" ht="15.75" x14ac:dyDescent="0.25">
      <c r="A17" s="107">
        <v>1</v>
      </c>
      <c r="B17" s="46"/>
      <c r="C17" s="49" t="s">
        <v>96</v>
      </c>
      <c r="D17" s="83">
        <f>SUM(D8:D16)</f>
        <v>81697314</v>
      </c>
      <c r="E17" s="83">
        <f t="shared" ref="E17:U17" si="4">SUM(E8:E16)</f>
        <v>85480821</v>
      </c>
      <c r="F17" s="83">
        <f t="shared" si="4"/>
        <v>0</v>
      </c>
      <c r="G17" s="83">
        <f t="shared" si="4"/>
        <v>0</v>
      </c>
      <c r="H17" s="83">
        <f t="shared" si="4"/>
        <v>0</v>
      </c>
      <c r="I17" s="83">
        <f t="shared" si="4"/>
        <v>896736</v>
      </c>
      <c r="J17" s="83">
        <f t="shared" si="4"/>
        <v>0</v>
      </c>
      <c r="K17" s="83">
        <f t="shared" si="4"/>
        <v>0</v>
      </c>
      <c r="L17" s="83">
        <f t="shared" si="4"/>
        <v>1750000</v>
      </c>
      <c r="M17" s="83">
        <f t="shared" si="4"/>
        <v>2022000</v>
      </c>
      <c r="N17" s="83">
        <f t="shared" si="4"/>
        <v>0</v>
      </c>
      <c r="O17" s="83">
        <f t="shared" si="4"/>
        <v>0</v>
      </c>
      <c r="P17" s="83">
        <f t="shared" si="4"/>
        <v>182213404</v>
      </c>
      <c r="Q17" s="83">
        <f t="shared" si="4"/>
        <v>214865928</v>
      </c>
      <c r="R17" s="83">
        <f t="shared" si="4"/>
        <v>1855656</v>
      </c>
      <c r="S17" s="83">
        <f t="shared" si="4"/>
        <v>2030040</v>
      </c>
      <c r="T17" s="127">
        <f>D17+F17+H17+J17+L17+N17+P17+R17</f>
        <v>267516374</v>
      </c>
      <c r="U17" s="83">
        <f t="shared" si="4"/>
        <v>36599987</v>
      </c>
      <c r="V17" s="128">
        <f t="shared" si="1"/>
        <v>305295525</v>
      </c>
      <c r="W17" s="55"/>
    </row>
    <row r="18" spans="1:23" x14ac:dyDescent="0.25">
      <c r="A18" s="107">
        <v>1</v>
      </c>
      <c r="B18" s="57"/>
      <c r="C18" s="4" t="s">
        <v>86</v>
      </c>
      <c r="D18" s="84">
        <f ca="1">SUMIF($B8:$B16,"kötelező",D8:D15)</f>
        <v>6401560</v>
      </c>
      <c r="E18" s="84">
        <f t="shared" ref="E18:U18" ca="1" si="5">SUMIF($B8:$B16,"kötelező",E8:E15)</f>
        <v>10374573</v>
      </c>
      <c r="F18" s="84">
        <f t="shared" ca="1" si="5"/>
        <v>0</v>
      </c>
      <c r="G18" s="84">
        <f t="shared" ca="1" si="5"/>
        <v>0</v>
      </c>
      <c r="H18" s="84">
        <f t="shared" ca="1" si="5"/>
        <v>0</v>
      </c>
      <c r="I18" s="84">
        <f t="shared" ca="1" si="5"/>
        <v>0</v>
      </c>
      <c r="J18" s="84">
        <f t="shared" ca="1" si="5"/>
        <v>0</v>
      </c>
      <c r="K18" s="84">
        <f t="shared" ca="1" si="5"/>
        <v>0</v>
      </c>
      <c r="L18" s="84">
        <f t="shared" ca="1" si="5"/>
        <v>0</v>
      </c>
      <c r="M18" s="84">
        <f t="shared" ca="1" si="5"/>
        <v>0</v>
      </c>
      <c r="N18" s="84">
        <f t="shared" ca="1" si="5"/>
        <v>0</v>
      </c>
      <c r="O18" s="84">
        <f t="shared" ca="1" si="5"/>
        <v>0</v>
      </c>
      <c r="P18" s="84">
        <f t="shared" ca="1" si="5"/>
        <v>23761378</v>
      </c>
      <c r="Q18" s="84">
        <f t="shared" ca="1" si="5"/>
        <v>24717432</v>
      </c>
      <c r="R18" s="84">
        <f t="shared" ca="1" si="5"/>
        <v>0</v>
      </c>
      <c r="S18" s="84">
        <f t="shared" ca="1" si="5"/>
        <v>0</v>
      </c>
      <c r="T18" s="127">
        <f t="shared" ca="1" si="0"/>
        <v>30162938</v>
      </c>
      <c r="U18" s="84">
        <f t="shared" ca="1" si="5"/>
        <v>10241</v>
      </c>
      <c r="V18" s="128">
        <f t="shared" ca="1" si="1"/>
        <v>35092005</v>
      </c>
    </row>
    <row r="19" spans="1:23" x14ac:dyDescent="0.25">
      <c r="A19" s="627">
        <v>10</v>
      </c>
      <c r="B19" s="57"/>
      <c r="C19" s="4" t="s">
        <v>87</v>
      </c>
      <c r="D19" s="84">
        <f>SUMIF($B8:$B16,"nem kötelező",D8:D16)</f>
        <v>75295754</v>
      </c>
      <c r="E19" s="84">
        <f t="shared" ref="E19:U19" si="6">SUMIF($B8:$B16,"nem kötelező",E8:E16)</f>
        <v>75106248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896736</v>
      </c>
      <c r="J19" s="84">
        <f t="shared" si="6"/>
        <v>0</v>
      </c>
      <c r="K19" s="84">
        <f t="shared" si="6"/>
        <v>0</v>
      </c>
      <c r="L19" s="84">
        <f t="shared" si="6"/>
        <v>1750000</v>
      </c>
      <c r="M19" s="84">
        <f t="shared" si="6"/>
        <v>2022000</v>
      </c>
      <c r="N19" s="84">
        <f t="shared" si="6"/>
        <v>0</v>
      </c>
      <c r="O19" s="84">
        <f t="shared" si="6"/>
        <v>0</v>
      </c>
      <c r="P19" s="84">
        <f t="shared" si="6"/>
        <v>158452026</v>
      </c>
      <c r="Q19" s="84">
        <f t="shared" si="6"/>
        <v>190148496</v>
      </c>
      <c r="R19" s="84">
        <f t="shared" si="6"/>
        <v>1855656</v>
      </c>
      <c r="S19" s="84">
        <f t="shared" si="6"/>
        <v>2030040</v>
      </c>
      <c r="T19" s="127">
        <f t="shared" si="0"/>
        <v>237353436</v>
      </c>
      <c r="U19" s="84">
        <f t="shared" si="6"/>
        <v>36589746</v>
      </c>
      <c r="V19" s="128">
        <f t="shared" si="1"/>
        <v>270203520</v>
      </c>
    </row>
    <row r="20" spans="1:23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723">
        <f>214865928-Q17</f>
        <v>0</v>
      </c>
      <c r="R20" s="58"/>
      <c r="S20" s="58"/>
      <c r="T20" s="58"/>
    </row>
    <row r="21" spans="1:23" x14ac:dyDescent="0.25">
      <c r="D21" s="55"/>
      <c r="P21" s="55"/>
      <c r="S21" s="55"/>
      <c r="T21" s="55"/>
      <c r="V21" s="55"/>
    </row>
    <row r="22" spans="1:23" x14ac:dyDescent="0.25">
      <c r="D22" s="55"/>
      <c r="V22" s="55"/>
    </row>
    <row r="23" spans="1:23" x14ac:dyDescent="0.25">
      <c r="T23" s="55"/>
    </row>
  </sheetData>
  <mergeCells count="19">
    <mergeCell ref="C3:V3"/>
    <mergeCell ref="R6:S6"/>
    <mergeCell ref="D6:E6"/>
    <mergeCell ref="F6:G6"/>
    <mergeCell ref="H6:I6"/>
    <mergeCell ref="J6:K6"/>
    <mergeCell ref="L6:M6"/>
    <mergeCell ref="D5:E5"/>
    <mergeCell ref="F5:G5"/>
    <mergeCell ref="H5:I5"/>
    <mergeCell ref="J5:K5"/>
    <mergeCell ref="L5:M5"/>
    <mergeCell ref="N5:O5"/>
    <mergeCell ref="P5:Q5"/>
    <mergeCell ref="R5:S5"/>
    <mergeCell ref="T5:V5"/>
    <mergeCell ref="N6:O6"/>
    <mergeCell ref="P6:Q6"/>
    <mergeCell ref="T6:V6"/>
  </mergeCells>
  <printOptions horizontalCentered="1"/>
  <pageMargins left="0.70866141732283472" right="0.1640625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U24"/>
  <sheetViews>
    <sheetView zoomScaleNormal="100" zoomScaleSheetLayoutView="100" workbookViewId="0">
      <pane xSplit="3" ySplit="5" topLeftCell="G9" activePane="bottomRight" state="frozen"/>
      <selection pane="topRight" activeCell="D1" sqref="D1"/>
      <selection pane="bottomLeft" activeCell="A4" sqref="A4"/>
      <selection pane="bottomRight" activeCell="E16" sqref="E16"/>
    </sheetView>
  </sheetViews>
  <sheetFormatPr defaultColWidth="9.28515625" defaultRowHeight="15" x14ac:dyDescent="0.25"/>
  <cols>
    <col min="1" max="1" width="5.28515625" style="54" customWidth="1"/>
    <col min="2" max="2" width="9.140625" style="54" customWidth="1"/>
    <col min="3" max="3" width="35.28515625" style="54" customWidth="1"/>
    <col min="4" max="4" width="10.5703125" style="54" bestFit="1" customWidth="1"/>
    <col min="5" max="5" width="8.42578125" style="54" bestFit="1" customWidth="1"/>
    <col min="6" max="6" width="10.42578125" style="54" customWidth="1"/>
    <col min="7" max="7" width="7.85546875" style="54" bestFit="1" customWidth="1"/>
    <col min="8" max="8" width="10.5703125" style="54" bestFit="1" customWidth="1"/>
    <col min="9" max="9" width="7.85546875" style="54" bestFit="1" customWidth="1"/>
    <col min="10" max="10" width="10.5703125" style="54" bestFit="1" customWidth="1"/>
    <col min="11" max="11" width="7.85546875" style="54" bestFit="1" customWidth="1"/>
    <col min="12" max="12" width="10.5703125" style="54" bestFit="1" customWidth="1"/>
    <col min="13" max="13" width="7.85546875" style="54" bestFit="1" customWidth="1"/>
    <col min="14" max="14" width="9.5703125" style="54" bestFit="1" customWidth="1"/>
    <col min="15" max="15" width="7.85546875" style="54" bestFit="1" customWidth="1"/>
    <col min="16" max="16" width="12.42578125" style="54" customWidth="1"/>
    <col min="17" max="17" width="14.28515625" style="54" customWidth="1"/>
    <col min="18" max="18" width="10.5703125" style="54" bestFit="1" customWidth="1"/>
    <col min="19" max="19" width="10.140625" style="54" bestFit="1" customWidth="1"/>
    <col min="20" max="21" width="12.42578125" style="54" bestFit="1" customWidth="1"/>
    <col min="22" max="16384" width="9.28515625" style="54"/>
  </cols>
  <sheetData>
    <row r="1" spans="1:21" s="745" customFormat="1" x14ac:dyDescent="0.25">
      <c r="A1" s="744"/>
    </row>
    <row r="2" spans="1:21" x14ac:dyDescent="0.25">
      <c r="A2" s="750"/>
      <c r="B2" s="751"/>
      <c r="C2" s="752"/>
      <c r="D2" s="752"/>
      <c r="E2" s="752"/>
      <c r="F2" s="752"/>
      <c r="G2" s="752"/>
      <c r="H2" s="752"/>
      <c r="I2" s="752"/>
      <c r="M2" s="695" t="s">
        <v>482</v>
      </c>
      <c r="P2" s="695"/>
    </row>
    <row r="3" spans="1:21" ht="54.75" customHeight="1" x14ac:dyDescent="0.25">
      <c r="A3" s="103"/>
      <c r="B3" s="103"/>
      <c r="C3" s="740" t="s">
        <v>483</v>
      </c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2"/>
      <c r="R3" s="742"/>
      <c r="S3" s="742"/>
      <c r="T3" s="742"/>
      <c r="U3" s="58"/>
    </row>
    <row r="4" spans="1:21" ht="54.75" customHeight="1" x14ac:dyDescent="0.3">
      <c r="A4" s="59" t="s">
        <v>57</v>
      </c>
      <c r="B4" s="59"/>
      <c r="C4" s="112" t="s">
        <v>65</v>
      </c>
      <c r="D4" s="743" t="s">
        <v>58</v>
      </c>
      <c r="E4" s="743"/>
      <c r="F4" s="743" t="s">
        <v>59</v>
      </c>
      <c r="G4" s="743"/>
      <c r="H4" s="743" t="s">
        <v>60</v>
      </c>
      <c r="I4" s="743"/>
      <c r="J4" s="743" t="s">
        <v>67</v>
      </c>
      <c r="K4" s="743"/>
      <c r="L4" s="743" t="s">
        <v>69</v>
      </c>
      <c r="M4" s="743"/>
      <c r="N4" s="743" t="s">
        <v>70</v>
      </c>
      <c r="O4" s="743"/>
      <c r="P4" s="743" t="s">
        <v>71</v>
      </c>
      <c r="Q4" s="743"/>
      <c r="R4" s="748" t="s">
        <v>72</v>
      </c>
      <c r="S4" s="749"/>
      <c r="T4" s="743" t="s">
        <v>72</v>
      </c>
      <c r="U4" s="743"/>
    </row>
    <row r="5" spans="1:21" ht="84" customHeight="1" x14ac:dyDescent="0.25">
      <c r="A5" s="626">
        <v>1</v>
      </c>
      <c r="B5" s="108" t="s">
        <v>101</v>
      </c>
      <c r="C5" s="49" t="s">
        <v>74</v>
      </c>
      <c r="D5" s="736" t="s">
        <v>63</v>
      </c>
      <c r="E5" s="736"/>
      <c r="F5" s="736" t="s">
        <v>62</v>
      </c>
      <c r="G5" s="736"/>
      <c r="H5" s="736" t="s">
        <v>76</v>
      </c>
      <c r="I5" s="736"/>
      <c r="J5" s="736" t="s">
        <v>77</v>
      </c>
      <c r="K5" s="736"/>
      <c r="L5" s="736" t="s">
        <v>78</v>
      </c>
      <c r="M5" s="736"/>
      <c r="N5" s="736" t="s">
        <v>92</v>
      </c>
      <c r="O5" s="736"/>
      <c r="P5" s="736" t="s">
        <v>93</v>
      </c>
      <c r="Q5" s="736"/>
      <c r="R5" s="746" t="s">
        <v>133</v>
      </c>
      <c r="S5" s="747"/>
      <c r="T5" s="736" t="s">
        <v>80</v>
      </c>
      <c r="U5" s="736"/>
    </row>
    <row r="6" spans="1:21" s="61" customFormat="1" ht="42.75" x14ac:dyDescent="0.25">
      <c r="A6" s="626">
        <v>2</v>
      </c>
      <c r="B6" s="110"/>
      <c r="C6" s="49" t="s">
        <v>449</v>
      </c>
      <c r="D6" s="101" t="s">
        <v>480</v>
      </c>
      <c r="E6" s="14" t="s">
        <v>481</v>
      </c>
      <c r="F6" s="661" t="s">
        <v>480</v>
      </c>
      <c r="G6" s="14" t="s">
        <v>481</v>
      </c>
      <c r="H6" s="661" t="s">
        <v>480</v>
      </c>
      <c r="I6" s="14" t="s">
        <v>481</v>
      </c>
      <c r="J6" s="661" t="s">
        <v>480</v>
      </c>
      <c r="K6" s="14" t="s">
        <v>481</v>
      </c>
      <c r="L6" s="661" t="s">
        <v>480</v>
      </c>
      <c r="M6" s="14" t="s">
        <v>481</v>
      </c>
      <c r="N6" s="661" t="s">
        <v>480</v>
      </c>
      <c r="O6" s="14" t="s">
        <v>481</v>
      </c>
      <c r="P6" s="661" t="s">
        <v>480</v>
      </c>
      <c r="Q6" s="14" t="s">
        <v>481</v>
      </c>
      <c r="R6" s="661" t="s">
        <v>480</v>
      </c>
      <c r="S6" s="14" t="s">
        <v>481</v>
      </c>
      <c r="T6" s="661" t="s">
        <v>480</v>
      </c>
      <c r="U6" s="14" t="s">
        <v>481</v>
      </c>
    </row>
    <row r="7" spans="1:21" s="61" customFormat="1" ht="25.5" x14ac:dyDescent="0.25">
      <c r="A7" s="107"/>
      <c r="B7" s="4" t="s">
        <v>81</v>
      </c>
      <c r="C7" s="664" t="s">
        <v>486</v>
      </c>
      <c r="D7" s="135"/>
      <c r="E7" s="14"/>
      <c r="F7" s="135"/>
      <c r="G7" s="14"/>
      <c r="H7" s="135"/>
      <c r="I7" s="14"/>
      <c r="J7" s="135"/>
      <c r="K7" s="14"/>
      <c r="L7" s="135"/>
      <c r="M7" s="14"/>
      <c r="N7" s="135"/>
      <c r="O7" s="14"/>
      <c r="P7" s="89">
        <v>183365842</v>
      </c>
      <c r="Q7" s="144">
        <v>191963493</v>
      </c>
      <c r="R7" s="89">
        <v>1035007</v>
      </c>
      <c r="S7" s="89">
        <f>R7-98510</f>
        <v>936497</v>
      </c>
      <c r="T7" s="529">
        <f>D7+F7+H7+J7+L7+N7+P7+R7</f>
        <v>184400849</v>
      </c>
      <c r="U7" s="144">
        <f>E7+G7+I7+K7+M7+O7+Q7+S7</f>
        <v>192899990</v>
      </c>
    </row>
    <row r="8" spans="1:21" x14ac:dyDescent="0.25">
      <c r="A8" s="626">
        <v>3</v>
      </c>
      <c r="B8" s="4" t="s">
        <v>81</v>
      </c>
      <c r="C8" s="664" t="s">
        <v>487</v>
      </c>
      <c r="D8" s="87"/>
      <c r="E8" s="87"/>
      <c r="F8" s="87"/>
      <c r="G8" s="87"/>
      <c r="H8" s="88"/>
      <c r="I8" s="88"/>
      <c r="J8" s="88"/>
      <c r="K8" s="88"/>
      <c r="L8" s="88"/>
      <c r="M8" s="88"/>
      <c r="N8" s="88"/>
      <c r="O8" s="88"/>
      <c r="P8" s="89"/>
      <c r="Q8" s="89"/>
      <c r="R8" s="89"/>
      <c r="S8" s="89"/>
      <c r="T8" s="529">
        <f t="shared" ref="T8:T16" si="0">D8+F8+H8+J8+L8+N8+P8+R8</f>
        <v>0</v>
      </c>
      <c r="U8" s="144">
        <f t="shared" ref="U8:U16" si="1">E8+G8+I8+K8+M8+O8+Q8+S8</f>
        <v>0</v>
      </c>
    </row>
    <row r="9" spans="1:21" s="662" customFormat="1" x14ac:dyDescent="0.25">
      <c r="A9" s="626"/>
      <c r="B9" s="4" t="s">
        <v>81</v>
      </c>
      <c r="C9" s="664" t="s">
        <v>488</v>
      </c>
      <c r="D9" s="87"/>
      <c r="E9" s="87">
        <v>74623</v>
      </c>
      <c r="F9" s="87"/>
      <c r="G9" s="87"/>
      <c r="H9" s="88"/>
      <c r="I9" s="88"/>
      <c r="J9" s="88"/>
      <c r="K9" s="88"/>
      <c r="L9" s="88"/>
      <c r="M9" s="88"/>
      <c r="N9" s="88"/>
      <c r="O9" s="88"/>
      <c r="P9" s="89"/>
      <c r="Q9" s="89"/>
      <c r="R9" s="89"/>
      <c r="S9" s="89"/>
      <c r="T9" s="529"/>
      <c r="U9" s="144">
        <f t="shared" si="1"/>
        <v>74623</v>
      </c>
    </row>
    <row r="10" spans="1:21" ht="25.5" x14ac:dyDescent="0.25">
      <c r="A10" s="107"/>
      <c r="B10" s="4" t="s">
        <v>81</v>
      </c>
      <c r="C10" s="664" t="s">
        <v>463</v>
      </c>
      <c r="D10" s="87">
        <v>352882</v>
      </c>
      <c r="E10" s="87">
        <f>D10</f>
        <v>352882</v>
      </c>
      <c r="F10" s="87"/>
      <c r="G10" s="87"/>
      <c r="H10" s="88"/>
      <c r="I10" s="88"/>
      <c r="J10" s="88"/>
      <c r="K10" s="88"/>
      <c r="L10" s="88"/>
      <c r="M10" s="88"/>
      <c r="N10" s="88"/>
      <c r="O10" s="88"/>
      <c r="P10" s="89"/>
      <c r="Q10" s="89"/>
      <c r="R10" s="89"/>
      <c r="S10" s="89"/>
      <c r="T10" s="529">
        <f t="shared" si="0"/>
        <v>352882</v>
      </c>
      <c r="U10" s="144">
        <f t="shared" si="1"/>
        <v>352882</v>
      </c>
    </row>
    <row r="11" spans="1:21" s="662" customFormat="1" x14ac:dyDescent="0.25">
      <c r="A11" s="107"/>
      <c r="B11" s="4" t="s">
        <v>81</v>
      </c>
      <c r="C11" s="664" t="s">
        <v>489</v>
      </c>
      <c r="D11" s="87"/>
      <c r="E11" s="87"/>
      <c r="F11" s="87"/>
      <c r="G11" s="87"/>
      <c r="H11" s="88"/>
      <c r="I11" s="88"/>
      <c r="J11" s="88"/>
      <c r="K11" s="88"/>
      <c r="L11" s="88"/>
      <c r="M11" s="88"/>
      <c r="N11" s="88"/>
      <c r="O11" s="88"/>
      <c r="P11" s="89"/>
      <c r="Q11" s="89"/>
      <c r="R11" s="89"/>
      <c r="S11" s="89"/>
      <c r="T11" s="529"/>
      <c r="U11" s="144"/>
    </row>
    <row r="12" spans="1:21" ht="25.5" x14ac:dyDescent="0.25">
      <c r="A12" s="626">
        <v>4</v>
      </c>
      <c r="B12" s="4" t="s">
        <v>81</v>
      </c>
      <c r="C12" s="664" t="s">
        <v>490</v>
      </c>
      <c r="D12" s="87"/>
      <c r="E12" s="87"/>
      <c r="F12" s="87"/>
      <c r="G12" s="87"/>
      <c r="H12" s="88"/>
      <c r="I12" s="88"/>
      <c r="J12" s="88"/>
      <c r="K12" s="88"/>
      <c r="L12" s="88"/>
      <c r="M12" s="88"/>
      <c r="N12" s="88"/>
      <c r="O12" s="88"/>
      <c r="P12" s="89"/>
      <c r="Q12" s="89"/>
      <c r="R12" s="89"/>
      <c r="S12" s="89"/>
      <c r="T12" s="529">
        <f t="shared" si="0"/>
        <v>0</v>
      </c>
      <c r="U12" s="144">
        <f t="shared" si="1"/>
        <v>0</v>
      </c>
    </row>
    <row r="13" spans="1:21" x14ac:dyDescent="0.25">
      <c r="A13" s="107"/>
      <c r="B13" s="4"/>
      <c r="C13" s="4"/>
      <c r="D13" s="87"/>
      <c r="E13" s="87"/>
      <c r="F13" s="87"/>
      <c r="G13" s="87"/>
      <c r="H13" s="88"/>
      <c r="I13" s="88"/>
      <c r="J13" s="88"/>
      <c r="K13" s="88"/>
      <c r="L13" s="88"/>
      <c r="M13" s="88"/>
      <c r="N13" s="88"/>
      <c r="O13" s="88"/>
      <c r="P13" s="89"/>
      <c r="Q13" s="89"/>
      <c r="R13" s="89"/>
      <c r="S13" s="89"/>
      <c r="T13" s="529">
        <f t="shared" si="0"/>
        <v>0</v>
      </c>
      <c r="U13" s="144">
        <f t="shared" si="1"/>
        <v>0</v>
      </c>
    </row>
    <row r="14" spans="1:21" s="61" customFormat="1" x14ac:dyDescent="0.25">
      <c r="A14" s="626">
        <v>5</v>
      </c>
      <c r="B14" s="111"/>
      <c r="C14" s="62" t="s">
        <v>96</v>
      </c>
      <c r="D14" s="90">
        <f t="shared" ref="D14:S14" si="2">SUM(D7:D12)</f>
        <v>352882</v>
      </c>
      <c r="E14" s="90">
        <f t="shared" si="2"/>
        <v>427505</v>
      </c>
      <c r="F14" s="90">
        <f t="shared" si="2"/>
        <v>0</v>
      </c>
      <c r="G14" s="90">
        <f t="shared" si="2"/>
        <v>0</v>
      </c>
      <c r="H14" s="90">
        <f t="shared" si="2"/>
        <v>0</v>
      </c>
      <c r="I14" s="90">
        <f t="shared" si="2"/>
        <v>0</v>
      </c>
      <c r="J14" s="90">
        <f t="shared" si="2"/>
        <v>0</v>
      </c>
      <c r="K14" s="90">
        <f t="shared" si="2"/>
        <v>0</v>
      </c>
      <c r="L14" s="90">
        <f t="shared" si="2"/>
        <v>0</v>
      </c>
      <c r="M14" s="90">
        <f t="shared" si="2"/>
        <v>0</v>
      </c>
      <c r="N14" s="90">
        <f t="shared" si="2"/>
        <v>0</v>
      </c>
      <c r="O14" s="90">
        <f t="shared" si="2"/>
        <v>0</v>
      </c>
      <c r="P14" s="90">
        <f t="shared" si="2"/>
        <v>183365842</v>
      </c>
      <c r="Q14" s="90">
        <f t="shared" si="2"/>
        <v>191963493</v>
      </c>
      <c r="R14" s="90">
        <f t="shared" si="2"/>
        <v>1035007</v>
      </c>
      <c r="S14" s="90">
        <f t="shared" si="2"/>
        <v>936497</v>
      </c>
      <c r="T14" s="529">
        <f t="shared" si="0"/>
        <v>184753731</v>
      </c>
      <c r="U14" s="144">
        <f t="shared" si="1"/>
        <v>193327495</v>
      </c>
    </row>
    <row r="15" spans="1:21" x14ac:dyDescent="0.25">
      <c r="A15" s="626">
        <v>6</v>
      </c>
      <c r="B15" s="4"/>
      <c r="C15" s="4" t="s">
        <v>86</v>
      </c>
      <c r="D15" s="84">
        <f>D8+D10+D12+D7</f>
        <v>352882</v>
      </c>
      <c r="E15" s="84">
        <f>E8+E10+E12+E7+E9</f>
        <v>427505</v>
      </c>
      <c r="F15" s="84">
        <f t="shared" ref="F15:S15" si="3">F8+F10+F12+F7</f>
        <v>0</v>
      </c>
      <c r="G15" s="84">
        <f t="shared" si="3"/>
        <v>0</v>
      </c>
      <c r="H15" s="84">
        <f t="shared" si="3"/>
        <v>0</v>
      </c>
      <c r="I15" s="84">
        <f t="shared" si="3"/>
        <v>0</v>
      </c>
      <c r="J15" s="84">
        <f t="shared" si="3"/>
        <v>0</v>
      </c>
      <c r="K15" s="84">
        <f t="shared" si="3"/>
        <v>0</v>
      </c>
      <c r="L15" s="84">
        <f t="shared" si="3"/>
        <v>0</v>
      </c>
      <c r="M15" s="84">
        <f t="shared" si="3"/>
        <v>0</v>
      </c>
      <c r="N15" s="84">
        <f t="shared" si="3"/>
        <v>0</v>
      </c>
      <c r="O15" s="84">
        <f t="shared" si="3"/>
        <v>0</v>
      </c>
      <c r="P15" s="84">
        <f t="shared" si="3"/>
        <v>183365842</v>
      </c>
      <c r="Q15" s="84">
        <f t="shared" si="3"/>
        <v>191963493</v>
      </c>
      <c r="R15" s="84">
        <f t="shared" si="3"/>
        <v>1035007</v>
      </c>
      <c r="S15" s="84">
        <f t="shared" si="3"/>
        <v>936497</v>
      </c>
      <c r="T15" s="529">
        <f t="shared" si="0"/>
        <v>184753731</v>
      </c>
      <c r="U15" s="144">
        <f t="shared" si="1"/>
        <v>193327495</v>
      </c>
    </row>
    <row r="16" spans="1:21" x14ac:dyDescent="0.25">
      <c r="A16" s="626">
        <v>7</v>
      </c>
      <c r="B16" s="4"/>
      <c r="C16" s="4" t="s">
        <v>87</v>
      </c>
      <c r="D16" s="84">
        <f t="shared" ref="D16:Q16" si="4">SUMIF($B8:$B12,"nem kötelező",D8:D12)</f>
        <v>0</v>
      </c>
      <c r="E16" s="84">
        <f t="shared" si="4"/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>
        <f t="shared" si="4"/>
        <v>0</v>
      </c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9"/>
      <c r="S16" s="89"/>
      <c r="T16" s="529">
        <f t="shared" si="0"/>
        <v>0</v>
      </c>
      <c r="U16" s="144">
        <f t="shared" si="1"/>
        <v>0</v>
      </c>
    </row>
    <row r="17" spans="2:2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2:21" x14ac:dyDescent="0.25">
      <c r="U18" s="55"/>
    </row>
    <row r="20" spans="2:21" x14ac:dyDescent="0.25">
      <c r="U20" s="55"/>
    </row>
    <row r="24" spans="2:21" x14ac:dyDescent="0.25">
      <c r="F24" s="54" t="s">
        <v>103</v>
      </c>
    </row>
  </sheetData>
  <mergeCells count="21">
    <mergeCell ref="N4:O4"/>
    <mergeCell ref="P4:Q4"/>
    <mergeCell ref="A1:XFD1"/>
    <mergeCell ref="R5:S5"/>
    <mergeCell ref="R4:S4"/>
    <mergeCell ref="T4:U4"/>
    <mergeCell ref="C3:T3"/>
    <mergeCell ref="A2:I2"/>
    <mergeCell ref="N5:O5"/>
    <mergeCell ref="P5:Q5"/>
    <mergeCell ref="T5:U5"/>
    <mergeCell ref="D4:E4"/>
    <mergeCell ref="F4:G4"/>
    <mergeCell ref="H4:I4"/>
    <mergeCell ref="J4:K4"/>
    <mergeCell ref="L4:M4"/>
    <mergeCell ref="D5:E5"/>
    <mergeCell ref="F5:G5"/>
    <mergeCell ref="H5:I5"/>
    <mergeCell ref="J5:K5"/>
    <mergeCell ref="L5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AJ73"/>
  <sheetViews>
    <sheetView zoomScale="101" zoomScaleNormal="93" zoomScaleSheetLayoutView="100" workbookViewId="0">
      <pane xSplit="3" ySplit="6" topLeftCell="T37" activePane="bottomRight" state="frozen"/>
      <selection pane="topRight" activeCell="D1" sqref="D1"/>
      <selection pane="bottomLeft" activeCell="A6" sqref="A6"/>
      <selection pane="bottomRight" activeCell="U21" sqref="U21"/>
    </sheetView>
  </sheetViews>
  <sheetFormatPr defaultColWidth="9.28515625" defaultRowHeight="15" x14ac:dyDescent="0.25"/>
  <cols>
    <col min="1" max="1" width="2.140625" style="9" customWidth="1"/>
    <col min="2" max="2" width="15" style="9" customWidth="1"/>
    <col min="3" max="3" width="67.5703125" style="9" bestFit="1" customWidth="1"/>
    <col min="4" max="4" width="12.42578125" style="9" bestFit="1" customWidth="1"/>
    <col min="5" max="5" width="12.42578125" style="9" customWidth="1"/>
    <col min="6" max="7" width="13.28515625" style="9" customWidth="1"/>
    <col min="8" max="8" width="12.7109375" style="9" customWidth="1"/>
    <col min="9" max="9" width="13.42578125" style="9" customWidth="1"/>
    <col min="10" max="10" width="11.7109375" style="9" customWidth="1"/>
    <col min="11" max="12" width="12.28515625" style="9" customWidth="1"/>
    <col min="13" max="13" width="12.42578125" style="9" customWidth="1"/>
    <col min="14" max="15" width="12.28515625" style="9" customWidth="1"/>
    <col min="16" max="16" width="10.140625" style="9" customWidth="1"/>
    <col min="17" max="17" width="9.7109375" style="9" customWidth="1"/>
    <col min="18" max="18" width="7.85546875" style="9" customWidth="1"/>
    <col min="19" max="19" width="7.140625" style="9" bestFit="1" customWidth="1"/>
    <col min="20" max="21" width="12.42578125" style="9" bestFit="1" customWidth="1"/>
    <col min="22" max="24" width="12.28515625" style="9" customWidth="1"/>
    <col min="25" max="25" width="12" style="9" customWidth="1"/>
    <col min="26" max="27" width="11.28515625" style="9" bestFit="1" customWidth="1"/>
    <col min="28" max="29" width="10.140625" style="9" bestFit="1" customWidth="1"/>
    <col min="30" max="30" width="13.85546875" style="9" customWidth="1"/>
    <col min="31" max="31" width="14.28515625" style="9" bestFit="1" customWidth="1"/>
    <col min="32" max="32" width="12.42578125" style="9" bestFit="1" customWidth="1"/>
    <col min="33" max="33" width="13.85546875" style="9" customWidth="1"/>
    <col min="34" max="34" width="14.5703125" style="9" customWidth="1"/>
    <col min="35" max="35" width="15.5703125" style="9" customWidth="1"/>
    <col min="36" max="36" width="13.7109375" style="9" customWidth="1"/>
    <col min="37" max="16384" width="9.28515625" style="9"/>
  </cols>
  <sheetData>
    <row r="1" spans="1:36" x14ac:dyDescent="0.25">
      <c r="X1" s="757"/>
      <c r="Y1" s="757"/>
      <c r="Z1" s="757"/>
      <c r="AA1" s="757"/>
      <c r="AB1" s="757"/>
      <c r="AC1" s="757"/>
      <c r="AD1" s="757"/>
      <c r="AE1" s="757"/>
      <c r="AF1" s="757"/>
      <c r="AG1" s="757"/>
      <c r="AH1" s="757"/>
    </row>
    <row r="2" spans="1:36" x14ac:dyDescent="0.25">
      <c r="B2" s="760"/>
      <c r="C2" s="760"/>
      <c r="D2" s="760"/>
      <c r="E2" s="760"/>
      <c r="F2" s="760"/>
      <c r="G2" s="760"/>
      <c r="H2" s="760"/>
      <c r="I2" s="760"/>
      <c r="J2" s="760"/>
      <c r="AB2" s="621" t="s">
        <v>558</v>
      </c>
      <c r="AG2" s="646"/>
      <c r="AH2" s="646"/>
      <c r="AI2" s="620"/>
    </row>
    <row r="3" spans="1:36" ht="15" customHeight="1" x14ac:dyDescent="0.25">
      <c r="A3" s="649"/>
      <c r="B3" s="650"/>
      <c r="C3" s="758" t="s">
        <v>565</v>
      </c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  <c r="V3" s="759"/>
      <c r="W3" s="759"/>
      <c r="X3" s="759"/>
      <c r="Y3" s="759"/>
      <c r="Z3" s="759"/>
      <c r="AA3" s="759"/>
      <c r="AB3" s="759"/>
      <c r="AC3" s="759"/>
      <c r="AD3" s="759"/>
      <c r="AE3" s="759"/>
      <c r="AF3" s="759"/>
      <c r="AG3" s="759"/>
      <c r="AH3" s="759"/>
      <c r="AI3" s="759"/>
    </row>
    <row r="4" spans="1:36" ht="48" customHeight="1" x14ac:dyDescent="0.25">
      <c r="A4" s="645" t="s">
        <v>57</v>
      </c>
      <c r="B4" s="645" t="s">
        <v>65</v>
      </c>
      <c r="C4" s="647" t="s">
        <v>58</v>
      </c>
      <c r="D4" s="753" t="s">
        <v>59</v>
      </c>
      <c r="E4" s="754"/>
      <c r="F4" s="753" t="s">
        <v>60</v>
      </c>
      <c r="G4" s="754"/>
      <c r="H4" s="753" t="s">
        <v>67</v>
      </c>
      <c r="I4" s="754"/>
      <c r="J4" s="753" t="s">
        <v>69</v>
      </c>
      <c r="K4" s="754"/>
      <c r="L4" s="753" t="s">
        <v>70</v>
      </c>
      <c r="M4" s="754"/>
      <c r="N4" s="753" t="s">
        <v>71</v>
      </c>
      <c r="O4" s="754"/>
      <c r="P4" s="753" t="s">
        <v>72</v>
      </c>
      <c r="Q4" s="754"/>
      <c r="R4" s="753" t="s">
        <v>98</v>
      </c>
      <c r="S4" s="754"/>
      <c r="T4" s="753" t="s">
        <v>186</v>
      </c>
      <c r="U4" s="754"/>
      <c r="V4" s="753" t="s">
        <v>99</v>
      </c>
      <c r="W4" s="754"/>
      <c r="X4" s="753" t="s">
        <v>187</v>
      </c>
      <c r="Y4" s="754"/>
      <c r="Z4" s="753" t="s">
        <v>100</v>
      </c>
      <c r="AA4" s="754"/>
      <c r="AB4" s="753" t="s">
        <v>212</v>
      </c>
      <c r="AC4" s="754"/>
      <c r="AD4" s="753" t="s">
        <v>188</v>
      </c>
      <c r="AE4" s="754"/>
      <c r="AF4" s="753" t="s">
        <v>189</v>
      </c>
      <c r="AG4" s="754"/>
      <c r="AH4" s="648"/>
      <c r="AI4" s="645" t="s">
        <v>190</v>
      </c>
    </row>
    <row r="5" spans="1:36" ht="72.75" customHeight="1" x14ac:dyDescent="0.25">
      <c r="A5" s="11" t="s">
        <v>1</v>
      </c>
      <c r="B5" s="114" t="s">
        <v>73</v>
      </c>
      <c r="C5" s="13" t="s">
        <v>74</v>
      </c>
      <c r="D5" s="755" t="s">
        <v>40</v>
      </c>
      <c r="E5" s="756"/>
      <c r="F5" s="755" t="s">
        <v>105</v>
      </c>
      <c r="G5" s="756"/>
      <c r="H5" s="755" t="s">
        <v>41</v>
      </c>
      <c r="I5" s="756"/>
      <c r="J5" s="755" t="s">
        <v>106</v>
      </c>
      <c r="K5" s="756"/>
      <c r="L5" s="755" t="s">
        <v>107</v>
      </c>
      <c r="M5" s="756"/>
      <c r="N5" s="755" t="s">
        <v>108</v>
      </c>
      <c r="O5" s="756"/>
      <c r="P5" s="755" t="s">
        <v>125</v>
      </c>
      <c r="Q5" s="756"/>
      <c r="R5" s="755" t="s">
        <v>126</v>
      </c>
      <c r="S5" s="756"/>
      <c r="T5" s="755" t="s">
        <v>46</v>
      </c>
      <c r="U5" s="756"/>
      <c r="V5" s="755" t="s">
        <v>47</v>
      </c>
      <c r="W5" s="756"/>
      <c r="X5" s="755" t="s">
        <v>109</v>
      </c>
      <c r="Y5" s="756"/>
      <c r="Z5" s="755" t="s">
        <v>110</v>
      </c>
      <c r="AA5" s="756"/>
      <c r="AB5" s="755" t="s">
        <v>213</v>
      </c>
      <c r="AC5" s="756"/>
      <c r="AD5" s="755" t="s">
        <v>88</v>
      </c>
      <c r="AE5" s="756"/>
      <c r="AF5" s="755" t="s">
        <v>111</v>
      </c>
      <c r="AG5" s="756"/>
      <c r="AH5" s="14" t="s">
        <v>112</v>
      </c>
      <c r="AI5" s="14" t="s">
        <v>112</v>
      </c>
    </row>
    <row r="6" spans="1:36" ht="43.5" customHeight="1" x14ac:dyDescent="0.25">
      <c r="A6" s="11" t="s">
        <v>3</v>
      </c>
      <c r="B6" s="12"/>
      <c r="C6" s="13" t="s">
        <v>211</v>
      </c>
      <c r="D6" s="15" t="s">
        <v>500</v>
      </c>
      <c r="E6" s="15" t="s">
        <v>481</v>
      </c>
      <c r="F6" s="15" t="s">
        <v>500</v>
      </c>
      <c r="G6" s="15" t="s">
        <v>481</v>
      </c>
      <c r="H6" s="15" t="s">
        <v>500</v>
      </c>
      <c r="I6" s="15" t="s">
        <v>481</v>
      </c>
      <c r="J6" s="15" t="s">
        <v>500</v>
      </c>
      <c r="K6" s="15" t="s">
        <v>481</v>
      </c>
      <c r="L6" s="15" t="s">
        <v>500</v>
      </c>
      <c r="M6" s="15" t="s">
        <v>481</v>
      </c>
      <c r="N6" s="15" t="s">
        <v>500</v>
      </c>
      <c r="O6" s="15" t="s">
        <v>481</v>
      </c>
      <c r="P6" s="15" t="s">
        <v>500</v>
      </c>
      <c r="Q6" s="15" t="s">
        <v>481</v>
      </c>
      <c r="R6" s="15" t="s">
        <v>500</v>
      </c>
      <c r="S6" s="15" t="s">
        <v>481</v>
      </c>
      <c r="T6" s="15" t="s">
        <v>500</v>
      </c>
      <c r="U6" s="15" t="s">
        <v>481</v>
      </c>
      <c r="V6" s="15" t="s">
        <v>500</v>
      </c>
      <c r="W6" s="15" t="s">
        <v>481</v>
      </c>
      <c r="X6" s="15" t="s">
        <v>500</v>
      </c>
      <c r="Y6" s="15" t="s">
        <v>481</v>
      </c>
      <c r="Z6" s="15" t="s">
        <v>500</v>
      </c>
      <c r="AA6" s="15" t="s">
        <v>481</v>
      </c>
      <c r="AB6" s="15" t="s">
        <v>500</v>
      </c>
      <c r="AC6" s="15" t="s">
        <v>481</v>
      </c>
      <c r="AD6" s="15" t="s">
        <v>500</v>
      </c>
      <c r="AE6" s="15" t="s">
        <v>481</v>
      </c>
      <c r="AF6" s="15" t="s">
        <v>500</v>
      </c>
      <c r="AG6" s="15" t="s">
        <v>481</v>
      </c>
      <c r="AH6" s="15" t="s">
        <v>501</v>
      </c>
      <c r="AI6" s="15" t="s">
        <v>481</v>
      </c>
    </row>
    <row r="7" spans="1:36" x14ac:dyDescent="0.25">
      <c r="A7" s="11" t="s">
        <v>4</v>
      </c>
      <c r="B7" s="5" t="s">
        <v>81</v>
      </c>
      <c r="C7" s="6" t="s">
        <v>195</v>
      </c>
      <c r="D7" s="91">
        <v>19255386</v>
      </c>
      <c r="E7" s="123">
        <v>21632499</v>
      </c>
      <c r="F7" s="91">
        <v>2269854</v>
      </c>
      <c r="G7" s="91">
        <v>2764780</v>
      </c>
      <c r="H7" s="91">
        <v>11821265</v>
      </c>
      <c r="I7" s="91">
        <v>13246242</v>
      </c>
      <c r="J7" s="91"/>
      <c r="K7" s="91"/>
      <c r="L7" s="91"/>
      <c r="M7" s="91"/>
      <c r="N7" s="91"/>
      <c r="O7" s="91"/>
      <c r="P7" s="91"/>
      <c r="Q7" s="91"/>
      <c r="R7" s="91"/>
      <c r="S7" s="91"/>
      <c r="T7" s="91">
        <v>1092200</v>
      </c>
      <c r="U7" s="91">
        <v>498884</v>
      </c>
      <c r="V7" s="91"/>
      <c r="W7" s="91"/>
      <c r="X7" s="91"/>
      <c r="Y7" s="91"/>
      <c r="Z7" s="91"/>
      <c r="AA7" s="91"/>
      <c r="AB7" s="91"/>
      <c r="AC7" s="91"/>
      <c r="AD7" s="7">
        <f>D7+F7+H7+J7+L7+N7+P7+R7+T7+V7+X7+Z7+AB7</f>
        <v>34438705</v>
      </c>
      <c r="AE7" s="7">
        <f>E7+G7+I7+K7+M7+O7+Q7+S7+U7+W7+Y7+AA7+AC7</f>
        <v>38142405</v>
      </c>
      <c r="AF7" s="8"/>
      <c r="AG7" s="8"/>
      <c r="AH7" s="8">
        <f>AD7+AF7</f>
        <v>34438705</v>
      </c>
      <c r="AI7" s="146">
        <f>AE7+AG7</f>
        <v>38142405</v>
      </c>
      <c r="AJ7" s="23"/>
    </row>
    <row r="8" spans="1:36" x14ac:dyDescent="0.25">
      <c r="A8" s="11" t="s">
        <v>18</v>
      </c>
      <c r="B8" s="5" t="s">
        <v>81</v>
      </c>
      <c r="C8" s="6" t="s">
        <v>214</v>
      </c>
      <c r="D8" s="91"/>
      <c r="E8" s="123"/>
      <c r="F8" s="91"/>
      <c r="G8" s="91"/>
      <c r="H8" s="91">
        <v>1003681</v>
      </c>
      <c r="I8" s="91">
        <v>1784262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>
        <v>6000001</v>
      </c>
      <c r="V8" s="91"/>
      <c r="W8" s="91"/>
      <c r="X8" s="91"/>
      <c r="Y8" s="91"/>
      <c r="Z8" s="91"/>
      <c r="AA8" s="91"/>
      <c r="AB8" s="91"/>
      <c r="AC8" s="91"/>
      <c r="AD8" s="7">
        <f t="shared" ref="AD8:AD41" si="0">D8+F8+H8+J8+L8+N8+P8+R8+T8+V8+X8+Z8+AB8</f>
        <v>1003681</v>
      </c>
      <c r="AE8" s="7">
        <f t="shared" ref="AE8:AE42" si="1">E8+G8+I8+K8+M8+O8+Q8+S8+U8+W8+Y8+AA8+AC8</f>
        <v>7784263</v>
      </c>
      <c r="AF8" s="8"/>
      <c r="AG8" s="8"/>
      <c r="AH8" s="8">
        <f t="shared" ref="AH8:AH42" si="2">AD8+AF8</f>
        <v>1003681</v>
      </c>
      <c r="AI8" s="146">
        <f t="shared" ref="AI8:AI41" si="3">AE8+AG8</f>
        <v>7784263</v>
      </c>
      <c r="AJ8" s="23"/>
    </row>
    <row r="9" spans="1:36" x14ac:dyDescent="0.25">
      <c r="A9" s="11" t="s">
        <v>20</v>
      </c>
      <c r="B9" s="5" t="s">
        <v>81</v>
      </c>
      <c r="C9" s="6" t="s">
        <v>196</v>
      </c>
      <c r="D9" s="92"/>
      <c r="E9" s="124">
        <v>107002</v>
      </c>
      <c r="F9" s="92"/>
      <c r="G9" s="92"/>
      <c r="H9" s="95">
        <v>3938560</v>
      </c>
      <c r="I9" s="91">
        <v>4842964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>
        <v>1022316</v>
      </c>
      <c r="X9" s="95"/>
      <c r="Y9" s="95"/>
      <c r="Z9" s="92"/>
      <c r="AA9" s="92"/>
      <c r="AB9" s="92"/>
      <c r="AC9" s="92"/>
      <c r="AD9" s="7">
        <f t="shared" si="0"/>
        <v>3938560</v>
      </c>
      <c r="AE9" s="7">
        <f t="shared" si="1"/>
        <v>5972282</v>
      </c>
      <c r="AF9" s="8"/>
      <c r="AG9" s="8"/>
      <c r="AH9" s="8">
        <f t="shared" si="2"/>
        <v>3938560</v>
      </c>
      <c r="AI9" s="146">
        <f t="shared" si="3"/>
        <v>5972282</v>
      </c>
      <c r="AJ9" s="23"/>
    </row>
    <row r="10" spans="1:36" x14ac:dyDescent="0.25">
      <c r="A10" s="11" t="s">
        <v>21</v>
      </c>
      <c r="B10" s="5" t="s">
        <v>81</v>
      </c>
      <c r="C10" s="6" t="s">
        <v>224</v>
      </c>
      <c r="D10" s="92"/>
      <c r="E10" s="124"/>
      <c r="F10" s="92"/>
      <c r="G10" s="92"/>
      <c r="H10" s="95"/>
      <c r="I10" s="95">
        <f>244814</f>
        <v>244814</v>
      </c>
      <c r="J10" s="92"/>
      <c r="K10" s="92"/>
      <c r="L10" s="92"/>
      <c r="M10" s="92"/>
      <c r="N10" s="92">
        <v>4514570</v>
      </c>
      <c r="O10" s="92">
        <f>11765762-127685</f>
        <v>11638077</v>
      </c>
      <c r="P10" s="92"/>
      <c r="Q10" s="92"/>
      <c r="R10" s="92"/>
      <c r="S10" s="92"/>
      <c r="T10" s="92"/>
      <c r="U10" s="92"/>
      <c r="V10" s="92"/>
      <c r="W10" s="92"/>
      <c r="X10" s="95"/>
      <c r="Y10" s="95"/>
      <c r="Z10" s="92">
        <v>21732794</v>
      </c>
      <c r="AA10" s="92">
        <f>Z10+2586637</f>
        <v>24319431</v>
      </c>
      <c r="AB10" s="92"/>
      <c r="AC10" s="92"/>
      <c r="AD10" s="7">
        <f t="shared" si="0"/>
        <v>26247364</v>
      </c>
      <c r="AE10" s="7">
        <f t="shared" si="1"/>
        <v>36202322</v>
      </c>
      <c r="AF10" s="8"/>
      <c r="AG10" s="8"/>
      <c r="AH10" s="8">
        <f t="shared" si="2"/>
        <v>26247364</v>
      </c>
      <c r="AI10" s="146">
        <f t="shared" si="3"/>
        <v>36202322</v>
      </c>
      <c r="AJ10" s="23"/>
    </row>
    <row r="11" spans="1:36" x14ac:dyDescent="0.25">
      <c r="A11" s="11" t="s">
        <v>23</v>
      </c>
      <c r="B11" s="5" t="s">
        <v>81</v>
      </c>
      <c r="C11" s="6" t="s">
        <v>197</v>
      </c>
      <c r="D11" s="92"/>
      <c r="E11" s="124"/>
      <c r="F11" s="92"/>
      <c r="G11" s="92"/>
      <c r="H11" s="95"/>
      <c r="I11" s="95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5"/>
      <c r="Y11" s="95"/>
      <c r="Z11" s="92"/>
      <c r="AA11" s="92"/>
      <c r="AB11" s="92"/>
      <c r="AC11" s="92"/>
      <c r="AD11" s="7">
        <f t="shared" si="0"/>
        <v>0</v>
      </c>
      <c r="AE11" s="7">
        <f t="shared" si="1"/>
        <v>0</v>
      </c>
      <c r="AF11" s="654">
        <f ca="1">'2.melléklet.Önkormányzat.és int'!Y45</f>
        <v>486765868</v>
      </c>
      <c r="AG11" s="8">
        <v>526934431</v>
      </c>
      <c r="AH11" s="8">
        <f t="shared" ca="1" si="2"/>
        <v>486765868</v>
      </c>
      <c r="AI11" s="146">
        <f t="shared" si="3"/>
        <v>526934431</v>
      </c>
      <c r="AJ11" s="23"/>
    </row>
    <row r="12" spans="1:36" x14ac:dyDescent="0.25">
      <c r="A12" s="11" t="s">
        <v>24</v>
      </c>
      <c r="B12" s="5" t="s">
        <v>82</v>
      </c>
      <c r="C12" s="6" t="s">
        <v>198</v>
      </c>
      <c r="D12" s="92"/>
      <c r="E12" s="124"/>
      <c r="F12" s="92"/>
      <c r="G12" s="92"/>
      <c r="H12" s="95"/>
      <c r="I12" s="95"/>
      <c r="J12" s="92"/>
      <c r="K12" s="92"/>
      <c r="L12" s="92">
        <v>3300000</v>
      </c>
      <c r="M12" s="92">
        <f>L12</f>
        <v>3300000</v>
      </c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5"/>
      <c r="Y12" s="95"/>
      <c r="Z12" s="92"/>
      <c r="AA12" s="92"/>
      <c r="AB12" s="92"/>
      <c r="AC12" s="92"/>
      <c r="AD12" s="7">
        <f t="shared" si="0"/>
        <v>3300000</v>
      </c>
      <c r="AE12" s="7">
        <f t="shared" si="1"/>
        <v>3300000</v>
      </c>
      <c r="AF12" s="8"/>
      <c r="AG12" s="8"/>
      <c r="AH12" s="8">
        <f t="shared" si="2"/>
        <v>3300000</v>
      </c>
      <c r="AI12" s="146">
        <f t="shared" si="3"/>
        <v>3300000</v>
      </c>
      <c r="AJ12" s="23"/>
    </row>
    <row r="13" spans="1:36" ht="20.25" customHeight="1" x14ac:dyDescent="0.25">
      <c r="A13" s="11" t="s">
        <v>25</v>
      </c>
      <c r="B13" s="5" t="s">
        <v>81</v>
      </c>
      <c r="C13" s="38" t="s">
        <v>199</v>
      </c>
      <c r="D13" s="92"/>
      <c r="E13" s="124"/>
      <c r="F13" s="92"/>
      <c r="G13" s="92"/>
      <c r="H13" s="95"/>
      <c r="I13" s="95"/>
      <c r="J13" s="92"/>
      <c r="K13" s="92"/>
      <c r="L13" s="92"/>
      <c r="M13" s="92"/>
      <c r="N13" s="92">
        <f>7824600+50000</f>
        <v>7874600</v>
      </c>
      <c r="O13" s="92">
        <v>10546109</v>
      </c>
      <c r="P13" s="92"/>
      <c r="Q13" s="92"/>
      <c r="R13" s="92"/>
      <c r="S13" s="92"/>
      <c r="T13" s="92"/>
      <c r="U13" s="92"/>
      <c r="V13" s="92"/>
      <c r="W13" s="92"/>
      <c r="X13" s="95"/>
      <c r="Y13" s="95"/>
      <c r="Z13" s="92"/>
      <c r="AA13" s="92"/>
      <c r="AB13" s="92"/>
      <c r="AC13" s="92"/>
      <c r="AD13" s="7">
        <f t="shared" si="0"/>
        <v>7874600</v>
      </c>
      <c r="AE13" s="7">
        <f t="shared" si="1"/>
        <v>10546109</v>
      </c>
      <c r="AF13" s="8"/>
      <c r="AG13" s="8"/>
      <c r="AH13" s="8">
        <f t="shared" si="2"/>
        <v>7874600</v>
      </c>
      <c r="AI13" s="146">
        <f t="shared" si="3"/>
        <v>10546109</v>
      </c>
      <c r="AJ13" s="23"/>
    </row>
    <row r="14" spans="1:36" x14ac:dyDescent="0.25">
      <c r="A14" s="11" t="s">
        <v>28</v>
      </c>
      <c r="B14" s="5" t="s">
        <v>81</v>
      </c>
      <c r="C14" s="6" t="s">
        <v>200</v>
      </c>
      <c r="D14" s="92">
        <v>16365000</v>
      </c>
      <c r="E14" s="124">
        <v>63092483</v>
      </c>
      <c r="F14" s="92">
        <v>1409788</v>
      </c>
      <c r="G14" s="92">
        <v>4367635</v>
      </c>
      <c r="H14" s="95">
        <v>4173245</v>
      </c>
      <c r="I14" s="95">
        <v>2823876</v>
      </c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>
        <v>278530</v>
      </c>
      <c r="V14" s="92"/>
      <c r="W14" s="92"/>
      <c r="X14" s="95"/>
      <c r="Y14" s="95"/>
      <c r="Z14" s="92"/>
      <c r="AA14" s="92"/>
      <c r="AB14" s="92"/>
      <c r="AC14" s="92"/>
      <c r="AD14" s="7">
        <f t="shared" si="0"/>
        <v>21948033</v>
      </c>
      <c r="AE14" s="7">
        <f t="shared" si="1"/>
        <v>70562524</v>
      </c>
      <c r="AF14" s="8"/>
      <c r="AG14" s="8"/>
      <c r="AH14" s="8">
        <f t="shared" si="2"/>
        <v>21948033</v>
      </c>
      <c r="AI14" s="146">
        <f t="shared" si="3"/>
        <v>70562524</v>
      </c>
      <c r="AJ14" s="23"/>
    </row>
    <row r="15" spans="1:36" x14ac:dyDescent="0.25">
      <c r="A15" s="11" t="s">
        <v>33</v>
      </c>
      <c r="B15" s="5" t="s">
        <v>82</v>
      </c>
      <c r="C15" s="6" t="s">
        <v>215</v>
      </c>
      <c r="D15" s="92"/>
      <c r="E15" s="124"/>
      <c r="F15" s="92"/>
      <c r="G15" s="92"/>
      <c r="H15" s="95">
        <v>7717600</v>
      </c>
      <c r="I15" s="95">
        <v>11808786</v>
      </c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5"/>
      <c r="Y15" s="95"/>
      <c r="Z15" s="92"/>
      <c r="AA15" s="92"/>
      <c r="AB15" s="92"/>
      <c r="AC15" s="92"/>
      <c r="AD15" s="7">
        <f t="shared" si="0"/>
        <v>7717600</v>
      </c>
      <c r="AE15" s="7">
        <f t="shared" si="1"/>
        <v>11808786</v>
      </c>
      <c r="AF15" s="8"/>
      <c r="AG15" s="8"/>
      <c r="AH15" s="8">
        <f t="shared" si="2"/>
        <v>7717600</v>
      </c>
      <c r="AI15" s="146">
        <f t="shared" si="3"/>
        <v>11808786</v>
      </c>
      <c r="AJ15" s="23"/>
    </row>
    <row r="16" spans="1:36" x14ac:dyDescent="0.25">
      <c r="A16" s="11" t="s">
        <v>61</v>
      </c>
      <c r="B16" s="5" t="s">
        <v>81</v>
      </c>
      <c r="C16" s="6" t="s">
        <v>243</v>
      </c>
      <c r="D16" s="92">
        <v>750000</v>
      </c>
      <c r="E16" s="124">
        <v>778700</v>
      </c>
      <c r="F16" s="92">
        <v>97500</v>
      </c>
      <c r="G16" s="92">
        <v>5000</v>
      </c>
      <c r="H16" s="95">
        <v>5279075</v>
      </c>
      <c r="I16" s="95">
        <v>1841265</v>
      </c>
      <c r="J16" s="92"/>
      <c r="K16" s="92"/>
      <c r="L16" s="92"/>
      <c r="M16" s="92"/>
      <c r="N16" s="92"/>
      <c r="O16" s="92">
        <v>127685</v>
      </c>
      <c r="P16" s="92"/>
      <c r="Q16" s="92"/>
      <c r="R16" s="92"/>
      <c r="S16" s="92"/>
      <c r="T16" s="92"/>
      <c r="U16" s="92">
        <v>63668877</v>
      </c>
      <c r="V16" s="92">
        <v>24280595</v>
      </c>
      <c r="W16" s="92">
        <v>174881482</v>
      </c>
      <c r="X16" s="95"/>
      <c r="Y16" s="95"/>
      <c r="Z16" s="92"/>
      <c r="AA16" s="92"/>
      <c r="AB16" s="92"/>
      <c r="AC16" s="92"/>
      <c r="AD16" s="7">
        <f t="shared" si="0"/>
        <v>30407170</v>
      </c>
      <c r="AE16" s="7">
        <f t="shared" si="1"/>
        <v>241303009</v>
      </c>
      <c r="AF16" s="8"/>
      <c r="AG16" s="8"/>
      <c r="AH16" s="8">
        <f t="shared" si="2"/>
        <v>30407170</v>
      </c>
      <c r="AI16" s="146">
        <f t="shared" si="3"/>
        <v>241303009</v>
      </c>
      <c r="AJ16" s="23"/>
    </row>
    <row r="17" spans="1:36" x14ac:dyDescent="0.25">
      <c r="A17" s="11" t="s">
        <v>37</v>
      </c>
      <c r="B17" s="5" t="s">
        <v>82</v>
      </c>
      <c r="C17" s="38" t="s">
        <v>502</v>
      </c>
      <c r="D17" s="92"/>
      <c r="E17" s="124"/>
      <c r="F17" s="92"/>
      <c r="G17" s="92"/>
      <c r="H17" s="95">
        <v>6176636</v>
      </c>
      <c r="I17" s="95">
        <v>1515243</v>
      </c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5"/>
      <c r="Y17" s="95"/>
      <c r="Z17" s="92"/>
      <c r="AA17" s="92"/>
      <c r="AB17" s="92"/>
      <c r="AC17" s="92"/>
      <c r="AD17" s="7">
        <f t="shared" si="0"/>
        <v>6176636</v>
      </c>
      <c r="AE17" s="7">
        <f t="shared" si="1"/>
        <v>1515243</v>
      </c>
      <c r="AF17" s="8"/>
      <c r="AG17" s="8"/>
      <c r="AH17" s="8">
        <f t="shared" si="2"/>
        <v>6176636</v>
      </c>
      <c r="AI17" s="146">
        <f t="shared" si="3"/>
        <v>1515243</v>
      </c>
      <c r="AJ17" s="23"/>
    </row>
    <row r="18" spans="1:36" x14ac:dyDescent="0.25">
      <c r="A18" s="11" t="s">
        <v>136</v>
      </c>
      <c r="B18" s="5" t="s">
        <v>81</v>
      </c>
      <c r="C18" s="38" t="s">
        <v>216</v>
      </c>
      <c r="D18" s="92"/>
      <c r="E18" s="124"/>
      <c r="F18" s="92"/>
      <c r="G18" s="92"/>
      <c r="H18" s="95"/>
      <c r="I18" s="95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5"/>
      <c r="Y18" s="95"/>
      <c r="Z18" s="92"/>
      <c r="AA18" s="92"/>
      <c r="AB18" s="92"/>
      <c r="AC18" s="92"/>
      <c r="AD18" s="7">
        <f t="shared" si="0"/>
        <v>0</v>
      </c>
      <c r="AE18" s="7">
        <f t="shared" si="1"/>
        <v>0</v>
      </c>
      <c r="AF18" s="8"/>
      <c r="AG18" s="8"/>
      <c r="AH18" s="8">
        <f t="shared" si="2"/>
        <v>0</v>
      </c>
      <c r="AI18" s="146">
        <f t="shared" si="3"/>
        <v>0</v>
      </c>
      <c r="AJ18" s="23"/>
    </row>
    <row r="19" spans="1:36" ht="25.5" x14ac:dyDescent="0.25">
      <c r="A19" s="11" t="s">
        <v>137</v>
      </c>
      <c r="B19" s="5" t="s">
        <v>81</v>
      </c>
      <c r="C19" s="38" t="s">
        <v>201</v>
      </c>
      <c r="D19" s="92"/>
      <c r="E19" s="124"/>
      <c r="F19" s="92"/>
      <c r="G19" s="92"/>
      <c r="H19" s="95"/>
      <c r="I19" s="95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>
        <v>552039221</v>
      </c>
      <c r="V19" s="92"/>
      <c r="W19" s="92"/>
      <c r="X19" s="95"/>
      <c r="Y19" s="95"/>
      <c r="Z19" s="92"/>
      <c r="AA19" s="92"/>
      <c r="AB19" s="92"/>
      <c r="AC19" s="92"/>
      <c r="AD19" s="7">
        <f t="shared" si="0"/>
        <v>0</v>
      </c>
      <c r="AE19" s="7">
        <f t="shared" si="1"/>
        <v>552039221</v>
      </c>
      <c r="AF19" s="8"/>
      <c r="AG19" s="8"/>
      <c r="AH19" s="8">
        <f t="shared" si="2"/>
        <v>0</v>
      </c>
      <c r="AI19" s="146">
        <f t="shared" si="3"/>
        <v>552039221</v>
      </c>
      <c r="AJ19" s="23"/>
    </row>
    <row r="20" spans="1:36" x14ac:dyDescent="0.25">
      <c r="A20" s="11" t="s">
        <v>139</v>
      </c>
      <c r="B20" s="5" t="s">
        <v>82</v>
      </c>
      <c r="C20" s="38" t="s">
        <v>503</v>
      </c>
      <c r="D20" s="92"/>
      <c r="E20" s="124"/>
      <c r="F20" s="92"/>
      <c r="G20" s="92"/>
      <c r="H20" s="95"/>
      <c r="I20" s="95">
        <v>761142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>
        <v>60037795</v>
      </c>
      <c r="U20" s="92">
        <v>32976304</v>
      </c>
      <c r="V20" s="92">
        <v>35999941</v>
      </c>
      <c r="W20" s="92">
        <v>23753859</v>
      </c>
      <c r="X20" s="95"/>
      <c r="Y20" s="95"/>
      <c r="Z20" s="92"/>
      <c r="AA20" s="92"/>
      <c r="AB20" s="92"/>
      <c r="AC20" s="92"/>
      <c r="AD20" s="7">
        <f t="shared" si="0"/>
        <v>96037736</v>
      </c>
      <c r="AE20" s="7">
        <f t="shared" si="1"/>
        <v>57491305</v>
      </c>
      <c r="AF20" s="8"/>
      <c r="AG20" s="8"/>
      <c r="AH20" s="8">
        <f t="shared" si="2"/>
        <v>96037736</v>
      </c>
      <c r="AI20" s="146">
        <f t="shared" si="3"/>
        <v>57491305</v>
      </c>
      <c r="AJ20" s="23"/>
    </row>
    <row r="21" spans="1:36" x14ac:dyDescent="0.25">
      <c r="A21" s="11"/>
      <c r="B21" s="5" t="s">
        <v>81</v>
      </c>
      <c r="C21" s="38" t="s">
        <v>244</v>
      </c>
      <c r="D21" s="92"/>
      <c r="E21" s="124"/>
      <c r="F21" s="92"/>
      <c r="G21" s="92"/>
      <c r="H21" s="95">
        <v>5271400</v>
      </c>
      <c r="I21" s="95">
        <v>5292203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>
        <v>1443023</v>
      </c>
      <c r="W21" s="92">
        <v>0</v>
      </c>
      <c r="X21" s="95"/>
      <c r="Y21" s="95"/>
      <c r="Z21" s="92"/>
      <c r="AA21" s="92"/>
      <c r="AB21" s="92"/>
      <c r="AC21" s="92"/>
      <c r="AD21" s="7">
        <f t="shared" si="0"/>
        <v>6714423</v>
      </c>
      <c r="AE21" s="7">
        <f t="shared" si="1"/>
        <v>5292203</v>
      </c>
      <c r="AF21" s="8"/>
      <c r="AG21" s="8"/>
      <c r="AH21" s="8">
        <f t="shared" si="2"/>
        <v>6714423</v>
      </c>
      <c r="AI21" s="146">
        <f t="shared" si="3"/>
        <v>5292203</v>
      </c>
      <c r="AJ21" s="23"/>
    </row>
    <row r="22" spans="1:36" x14ac:dyDescent="0.25">
      <c r="A22" s="11" t="s">
        <v>146</v>
      </c>
      <c r="B22" s="5" t="s">
        <v>81</v>
      </c>
      <c r="C22" s="38" t="s">
        <v>202</v>
      </c>
      <c r="D22" s="92"/>
      <c r="E22" s="124"/>
      <c r="F22" s="92"/>
      <c r="G22" s="92"/>
      <c r="H22" s="95">
        <v>13328650</v>
      </c>
      <c r="I22" s="95">
        <v>16400961</v>
      </c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>
        <v>985468</v>
      </c>
      <c r="V22" s="92">
        <v>4635350</v>
      </c>
      <c r="W22" s="92"/>
      <c r="X22" s="95"/>
      <c r="Y22" s="95"/>
      <c r="Z22" s="92"/>
      <c r="AA22" s="92"/>
      <c r="AB22" s="92"/>
      <c r="AC22" s="92"/>
      <c r="AD22" s="7">
        <f t="shared" si="0"/>
        <v>17964000</v>
      </c>
      <c r="AE22" s="7">
        <f t="shared" si="1"/>
        <v>17386429</v>
      </c>
      <c r="AF22" s="8"/>
      <c r="AG22" s="8"/>
      <c r="AH22" s="8">
        <f t="shared" si="2"/>
        <v>17964000</v>
      </c>
      <c r="AI22" s="146">
        <f t="shared" si="3"/>
        <v>17386429</v>
      </c>
      <c r="AJ22" s="23"/>
    </row>
    <row r="23" spans="1:36" x14ac:dyDescent="0.25">
      <c r="A23" s="11" t="s">
        <v>147</v>
      </c>
      <c r="B23" s="5" t="s">
        <v>82</v>
      </c>
      <c r="C23" s="38" t="s">
        <v>217</v>
      </c>
      <c r="D23" s="92"/>
      <c r="E23" s="124"/>
      <c r="F23" s="92"/>
      <c r="G23" s="92"/>
      <c r="H23" s="95">
        <v>3114421</v>
      </c>
      <c r="I23" s="95">
        <v>2999754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5"/>
      <c r="Y23" s="95"/>
      <c r="Z23" s="92"/>
      <c r="AA23" s="92"/>
      <c r="AB23" s="92"/>
      <c r="AC23" s="92"/>
      <c r="AD23" s="7">
        <f t="shared" si="0"/>
        <v>3114421</v>
      </c>
      <c r="AE23" s="7">
        <f t="shared" si="1"/>
        <v>2999754</v>
      </c>
      <c r="AF23" s="8"/>
      <c r="AG23" s="8"/>
      <c r="AH23" s="8">
        <f t="shared" si="2"/>
        <v>3114421</v>
      </c>
      <c r="AI23" s="146">
        <f t="shared" si="3"/>
        <v>2999754</v>
      </c>
      <c r="AJ23" s="23"/>
    </row>
    <row r="24" spans="1:36" ht="21.75" customHeight="1" x14ac:dyDescent="0.25">
      <c r="A24" s="11" t="s">
        <v>148</v>
      </c>
      <c r="B24" s="5" t="s">
        <v>81</v>
      </c>
      <c r="C24" s="38" t="s">
        <v>203</v>
      </c>
      <c r="D24" s="92">
        <v>11968550</v>
      </c>
      <c r="E24" s="124">
        <v>12238638</v>
      </c>
      <c r="F24" s="92">
        <v>1317682</v>
      </c>
      <c r="G24" s="92">
        <v>1259567</v>
      </c>
      <c r="H24" s="95">
        <v>37708922</v>
      </c>
      <c r="I24" s="95">
        <v>39756402</v>
      </c>
      <c r="J24" s="92"/>
      <c r="K24" s="92"/>
      <c r="L24" s="92"/>
      <c r="M24" s="92">
        <v>664305</v>
      </c>
      <c r="N24" s="92"/>
      <c r="O24" s="92"/>
      <c r="P24" s="92">
        <v>5000000</v>
      </c>
      <c r="Q24" s="92">
        <f>P24</f>
        <v>5000000</v>
      </c>
      <c r="R24" s="92"/>
      <c r="S24" s="92"/>
      <c r="T24" s="92">
        <v>14096093</v>
      </c>
      <c r="U24" s="92">
        <v>37718469</v>
      </c>
      <c r="V24" s="92">
        <v>12000000</v>
      </c>
      <c r="W24" s="92">
        <v>0</v>
      </c>
      <c r="X24" s="95">
        <v>142901586</v>
      </c>
      <c r="Y24" s="95">
        <v>96300175</v>
      </c>
      <c r="Z24" s="92"/>
      <c r="AA24" s="92"/>
      <c r="AB24" s="92"/>
      <c r="AC24" s="92"/>
      <c r="AD24" s="7">
        <f>D24+F24+H24+J24+L24+N24+P24+R24+T24+V24+X24+Z24+AB24</f>
        <v>224992833</v>
      </c>
      <c r="AE24" s="7">
        <f t="shared" si="1"/>
        <v>192937556</v>
      </c>
      <c r="AF24" s="8"/>
      <c r="AG24" s="8"/>
      <c r="AH24" s="8">
        <f t="shared" si="2"/>
        <v>224992833</v>
      </c>
      <c r="AI24" s="146">
        <f t="shared" si="3"/>
        <v>192937556</v>
      </c>
      <c r="AJ24" s="23"/>
    </row>
    <row r="25" spans="1:36" x14ac:dyDescent="0.25">
      <c r="A25" s="11" t="s">
        <v>150</v>
      </c>
      <c r="B25" s="5" t="s">
        <v>81</v>
      </c>
      <c r="C25" s="6" t="s">
        <v>204</v>
      </c>
      <c r="D25" s="92"/>
      <c r="E25" s="124"/>
      <c r="F25" s="92"/>
      <c r="G25" s="92"/>
      <c r="H25" s="95">
        <v>1975510</v>
      </c>
      <c r="I25" s="95">
        <v>2498498</v>
      </c>
      <c r="J25" s="95"/>
      <c r="K25" s="95"/>
      <c r="L25" s="95"/>
      <c r="M25" s="95"/>
      <c r="N25" s="95"/>
      <c r="O25" s="95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7">
        <f t="shared" si="0"/>
        <v>1975510</v>
      </c>
      <c r="AE25" s="7">
        <f t="shared" si="1"/>
        <v>2498498</v>
      </c>
      <c r="AF25" s="8"/>
      <c r="AG25" s="8"/>
      <c r="AH25" s="8">
        <f t="shared" si="2"/>
        <v>1975510</v>
      </c>
      <c r="AI25" s="146">
        <f t="shared" si="3"/>
        <v>2498498</v>
      </c>
      <c r="AJ25" s="23"/>
    </row>
    <row r="26" spans="1:36" x14ac:dyDescent="0.25">
      <c r="A26" s="11" t="s">
        <v>151</v>
      </c>
      <c r="B26" s="5" t="s">
        <v>81</v>
      </c>
      <c r="C26" s="6" t="s">
        <v>218</v>
      </c>
      <c r="D26" s="92">
        <v>1681500</v>
      </c>
      <c r="E26" s="124">
        <v>1713500</v>
      </c>
      <c r="F26" s="92">
        <v>219773</v>
      </c>
      <c r="G26" s="92">
        <v>223933</v>
      </c>
      <c r="H26" s="95"/>
      <c r="I26" s="95"/>
      <c r="J26" s="95"/>
      <c r="K26" s="95"/>
      <c r="L26" s="95"/>
      <c r="M26" s="95"/>
      <c r="N26" s="95"/>
      <c r="O26" s="95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7">
        <f t="shared" si="0"/>
        <v>1901273</v>
      </c>
      <c r="AE26" s="7">
        <f t="shared" si="1"/>
        <v>1937433</v>
      </c>
      <c r="AF26" s="8"/>
      <c r="AG26" s="8"/>
      <c r="AH26" s="8">
        <f t="shared" si="2"/>
        <v>1901273</v>
      </c>
      <c r="AI26" s="146">
        <f t="shared" si="3"/>
        <v>1937433</v>
      </c>
      <c r="AJ26" s="23"/>
    </row>
    <row r="27" spans="1:36" x14ac:dyDescent="0.25">
      <c r="A27" s="11" t="s">
        <v>152</v>
      </c>
      <c r="B27" s="5" t="s">
        <v>81</v>
      </c>
      <c r="C27" s="6" t="s">
        <v>219</v>
      </c>
      <c r="D27" s="92">
        <v>14239825</v>
      </c>
      <c r="E27" s="124">
        <v>13793003</v>
      </c>
      <c r="F27" s="92">
        <v>2004327</v>
      </c>
      <c r="G27" s="92">
        <v>1788555</v>
      </c>
      <c r="H27" s="95">
        <v>1996029</v>
      </c>
      <c r="I27" s="95">
        <v>2492671</v>
      </c>
      <c r="J27" s="95"/>
      <c r="K27" s="95"/>
      <c r="L27" s="95"/>
      <c r="M27" s="95"/>
      <c r="N27" s="95"/>
      <c r="O27" s="95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7">
        <f t="shared" si="0"/>
        <v>18240181</v>
      </c>
      <c r="AE27" s="7">
        <f t="shared" si="1"/>
        <v>18074229</v>
      </c>
      <c r="AF27" s="8"/>
      <c r="AG27" s="8"/>
      <c r="AH27" s="8">
        <f t="shared" si="2"/>
        <v>18240181</v>
      </c>
      <c r="AI27" s="146">
        <f t="shared" si="3"/>
        <v>18074229</v>
      </c>
      <c r="AJ27" s="23"/>
    </row>
    <row r="28" spans="1:36" x14ac:dyDescent="0.25">
      <c r="A28" s="11" t="s">
        <v>153</v>
      </c>
      <c r="B28" s="5" t="s">
        <v>81</v>
      </c>
      <c r="C28" s="6" t="s">
        <v>220</v>
      </c>
      <c r="D28" s="92"/>
      <c r="E28" s="124"/>
      <c r="F28" s="92"/>
      <c r="G28" s="92"/>
      <c r="H28" s="95"/>
      <c r="I28" s="95"/>
      <c r="J28" s="95"/>
      <c r="K28" s="95"/>
      <c r="L28" s="95">
        <v>247000</v>
      </c>
      <c r="M28" s="95">
        <f>L28</f>
        <v>247000</v>
      </c>
      <c r="N28" s="95"/>
      <c r="O28" s="95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7">
        <f t="shared" si="0"/>
        <v>247000</v>
      </c>
      <c r="AE28" s="7">
        <f t="shared" si="1"/>
        <v>247000</v>
      </c>
      <c r="AF28" s="8"/>
      <c r="AG28" s="8"/>
      <c r="AH28" s="8">
        <f t="shared" si="2"/>
        <v>247000</v>
      </c>
      <c r="AI28" s="146">
        <f t="shared" si="3"/>
        <v>247000</v>
      </c>
      <c r="AJ28" s="23"/>
    </row>
    <row r="29" spans="1:36" x14ac:dyDescent="0.25">
      <c r="A29" s="11" t="s">
        <v>154</v>
      </c>
      <c r="B29" s="5" t="s">
        <v>82</v>
      </c>
      <c r="C29" s="6" t="s">
        <v>221</v>
      </c>
      <c r="D29" s="92"/>
      <c r="E29" s="124">
        <v>180000</v>
      </c>
      <c r="F29" s="92"/>
      <c r="G29" s="92"/>
      <c r="H29" s="95">
        <v>284445</v>
      </c>
      <c r="I29" s="95">
        <v>548407</v>
      </c>
      <c r="J29" s="95"/>
      <c r="K29" s="95"/>
      <c r="L29" s="95"/>
      <c r="M29" s="95"/>
      <c r="N29" s="95"/>
      <c r="O29" s="95"/>
      <c r="P29" s="92"/>
      <c r="Q29" s="92"/>
      <c r="R29" s="92"/>
      <c r="S29" s="92"/>
      <c r="T29" s="92"/>
      <c r="U29" s="92">
        <v>91600</v>
      </c>
      <c r="V29" s="92">
        <v>203110</v>
      </c>
      <c r="W29" s="92">
        <v>0</v>
      </c>
      <c r="X29" s="92"/>
      <c r="Y29" s="92"/>
      <c r="Z29" s="92"/>
      <c r="AA29" s="92"/>
      <c r="AB29" s="92"/>
      <c r="AC29" s="92"/>
      <c r="AD29" s="7">
        <f t="shared" si="0"/>
        <v>487555</v>
      </c>
      <c r="AE29" s="7">
        <f t="shared" si="1"/>
        <v>820007</v>
      </c>
      <c r="AF29" s="8"/>
      <c r="AG29" s="8"/>
      <c r="AH29" s="8">
        <f t="shared" si="2"/>
        <v>487555</v>
      </c>
      <c r="AI29" s="146">
        <f t="shared" si="3"/>
        <v>820007</v>
      </c>
      <c r="AJ29" s="23"/>
    </row>
    <row r="30" spans="1:36" x14ac:dyDescent="0.25">
      <c r="A30" s="11" t="s">
        <v>155</v>
      </c>
      <c r="B30" s="5" t="s">
        <v>81</v>
      </c>
      <c r="C30" s="6" t="s">
        <v>222</v>
      </c>
      <c r="D30" s="92"/>
      <c r="E30" s="124">
        <v>416000</v>
      </c>
      <c r="F30" s="92"/>
      <c r="G30" s="92">
        <v>5031</v>
      </c>
      <c r="H30" s="95"/>
      <c r="I30" s="95">
        <v>3322770</v>
      </c>
      <c r="J30" s="95"/>
      <c r="K30" s="95"/>
      <c r="L30" s="95">
        <v>24578240</v>
      </c>
      <c r="M30" s="95">
        <v>21461190</v>
      </c>
      <c r="N30" s="95"/>
      <c r="O30" s="95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7">
        <f t="shared" si="0"/>
        <v>24578240</v>
      </c>
      <c r="AE30" s="7">
        <f t="shared" si="1"/>
        <v>25204991</v>
      </c>
      <c r="AF30" s="8"/>
      <c r="AG30" s="8"/>
      <c r="AH30" s="8">
        <f t="shared" si="2"/>
        <v>24578240</v>
      </c>
      <c r="AI30" s="146">
        <f t="shared" si="3"/>
        <v>25204991</v>
      </c>
      <c r="AJ30" s="23"/>
    </row>
    <row r="31" spans="1:36" x14ac:dyDescent="0.25">
      <c r="A31" s="11" t="s">
        <v>156</v>
      </c>
      <c r="B31" s="5" t="s">
        <v>81</v>
      </c>
      <c r="C31" s="6" t="s">
        <v>589</v>
      </c>
      <c r="D31" s="92"/>
      <c r="E31" s="124"/>
      <c r="F31" s="92"/>
      <c r="G31" s="92"/>
      <c r="H31" s="95"/>
      <c r="I31" s="95"/>
      <c r="J31" s="95"/>
      <c r="K31" s="95"/>
      <c r="L31" s="95"/>
      <c r="M31" s="95">
        <v>2839382</v>
      </c>
      <c r="N31" s="95"/>
      <c r="O31" s="95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7">
        <f t="shared" si="0"/>
        <v>0</v>
      </c>
      <c r="AE31" s="7">
        <f t="shared" si="1"/>
        <v>2839382</v>
      </c>
      <c r="AF31" s="8"/>
      <c r="AG31" s="8"/>
      <c r="AH31" s="8">
        <f t="shared" si="2"/>
        <v>0</v>
      </c>
      <c r="AI31" s="146">
        <f t="shared" si="3"/>
        <v>2839382</v>
      </c>
      <c r="AJ31" s="23"/>
    </row>
    <row r="32" spans="1:36" x14ac:dyDescent="0.25">
      <c r="A32" s="11" t="s">
        <v>157</v>
      </c>
      <c r="B32" s="5" t="s">
        <v>82</v>
      </c>
      <c r="C32" s="6" t="s">
        <v>588</v>
      </c>
      <c r="D32" s="92"/>
      <c r="E32" s="124"/>
      <c r="F32" s="92"/>
      <c r="G32" s="92"/>
      <c r="H32" s="95"/>
      <c r="I32" s="95">
        <v>24000</v>
      </c>
      <c r="J32" s="95"/>
      <c r="K32" s="95"/>
      <c r="L32" s="95"/>
      <c r="M32" s="95"/>
      <c r="N32" s="95"/>
      <c r="O32" s="95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7">
        <f t="shared" si="0"/>
        <v>0</v>
      </c>
      <c r="AE32" s="7">
        <f t="shared" si="1"/>
        <v>24000</v>
      </c>
      <c r="AF32" s="8"/>
      <c r="AG32" s="8"/>
      <c r="AH32" s="8">
        <f t="shared" si="2"/>
        <v>0</v>
      </c>
      <c r="AI32" s="146">
        <f t="shared" si="3"/>
        <v>24000</v>
      </c>
      <c r="AJ32" s="23"/>
    </row>
    <row r="33" spans="1:36" x14ac:dyDescent="0.25">
      <c r="A33" s="11" t="s">
        <v>158</v>
      </c>
      <c r="B33" s="5" t="s">
        <v>81</v>
      </c>
      <c r="C33" s="6" t="s">
        <v>205</v>
      </c>
      <c r="D33" s="92"/>
      <c r="E33" s="124"/>
      <c r="F33" s="92"/>
      <c r="G33" s="92"/>
      <c r="H33" s="95">
        <v>34185198</v>
      </c>
      <c r="I33" s="95">
        <v>36667894</v>
      </c>
      <c r="J33" s="95"/>
      <c r="K33" s="95"/>
      <c r="L33" s="95"/>
      <c r="M33" s="95"/>
      <c r="N33" s="95"/>
      <c r="O33" s="95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7">
        <f t="shared" si="0"/>
        <v>34185198</v>
      </c>
      <c r="AE33" s="7">
        <f t="shared" si="1"/>
        <v>36667894</v>
      </c>
      <c r="AF33" s="8"/>
      <c r="AG33" s="8"/>
      <c r="AH33" s="8">
        <f t="shared" si="2"/>
        <v>34185198</v>
      </c>
      <c r="AI33" s="146">
        <f t="shared" si="3"/>
        <v>36667894</v>
      </c>
      <c r="AJ33" s="23"/>
    </row>
    <row r="34" spans="1:36" x14ac:dyDescent="0.25">
      <c r="A34" s="11" t="s">
        <v>159</v>
      </c>
      <c r="B34" s="5" t="s">
        <v>81</v>
      </c>
      <c r="C34" s="6" t="s">
        <v>225</v>
      </c>
      <c r="D34" s="92"/>
      <c r="E34" s="124"/>
      <c r="F34" s="92"/>
      <c r="G34" s="92"/>
      <c r="H34" s="95"/>
      <c r="I34" s="95">
        <v>31611520</v>
      </c>
      <c r="J34" s="95"/>
      <c r="K34" s="95"/>
      <c r="L34" s="95"/>
      <c r="M34" s="95"/>
      <c r="N34" s="95"/>
      <c r="O34" s="95"/>
      <c r="P34" s="92"/>
      <c r="Q34" s="92"/>
      <c r="R34" s="92"/>
      <c r="S34" s="92"/>
      <c r="T34" s="92">
        <v>141823811</v>
      </c>
      <c r="U34" s="92">
        <v>135229281</v>
      </c>
      <c r="V34" s="92"/>
      <c r="W34" s="92">
        <v>8738328</v>
      </c>
      <c r="X34" s="92"/>
      <c r="Y34" s="92"/>
      <c r="Z34" s="92"/>
      <c r="AA34" s="92"/>
      <c r="AB34" s="92"/>
      <c r="AC34" s="92"/>
      <c r="AD34" s="7">
        <f t="shared" si="0"/>
        <v>141823811</v>
      </c>
      <c r="AE34" s="7">
        <f t="shared" si="1"/>
        <v>175579129</v>
      </c>
      <c r="AF34" s="8"/>
      <c r="AG34" s="8"/>
      <c r="AH34" s="8">
        <f t="shared" si="2"/>
        <v>141823811</v>
      </c>
      <c r="AI34" s="146">
        <f t="shared" si="3"/>
        <v>175579129</v>
      </c>
      <c r="AJ34" s="23"/>
    </row>
    <row r="35" spans="1:36" x14ac:dyDescent="0.25">
      <c r="A35" s="11" t="s">
        <v>160</v>
      </c>
      <c r="B35" s="5" t="s">
        <v>81</v>
      </c>
      <c r="C35" s="6" t="s">
        <v>206</v>
      </c>
      <c r="D35" s="92"/>
      <c r="E35" s="124"/>
      <c r="F35" s="92"/>
      <c r="G35" s="92"/>
      <c r="H35" s="95"/>
      <c r="I35" s="95"/>
      <c r="J35" s="95"/>
      <c r="K35" s="95"/>
      <c r="L35" s="95"/>
      <c r="M35" s="95"/>
      <c r="N35" s="95"/>
      <c r="O35" s="95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7">
        <f t="shared" si="0"/>
        <v>0</v>
      </c>
      <c r="AE35" s="7">
        <f t="shared" si="1"/>
        <v>0</v>
      </c>
      <c r="AF35" s="8"/>
      <c r="AG35" s="8"/>
      <c r="AH35" s="8">
        <f t="shared" si="2"/>
        <v>0</v>
      </c>
      <c r="AI35" s="146">
        <f t="shared" si="3"/>
        <v>0</v>
      </c>
      <c r="AJ35" s="23"/>
    </row>
    <row r="36" spans="1:36" x14ac:dyDescent="0.25">
      <c r="A36" s="11" t="s">
        <v>161</v>
      </c>
      <c r="B36" s="5" t="s">
        <v>81</v>
      </c>
      <c r="C36" s="6" t="s">
        <v>207</v>
      </c>
      <c r="D36" s="92"/>
      <c r="E36" s="124"/>
      <c r="F36" s="92"/>
      <c r="G36" s="92"/>
      <c r="H36" s="95">
        <v>657210</v>
      </c>
      <c r="I36" s="95">
        <f>H36</f>
        <v>657210</v>
      </c>
      <c r="J36" s="95"/>
      <c r="K36" s="95"/>
      <c r="L36" s="95"/>
      <c r="M36" s="95"/>
      <c r="N36" s="95"/>
      <c r="O36" s="95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7">
        <f t="shared" si="0"/>
        <v>657210</v>
      </c>
      <c r="AE36" s="7">
        <f t="shared" si="1"/>
        <v>657210</v>
      </c>
      <c r="AF36" s="8"/>
      <c r="AG36" s="8"/>
      <c r="AH36" s="8">
        <f t="shared" si="2"/>
        <v>657210</v>
      </c>
      <c r="AI36" s="146">
        <f t="shared" si="3"/>
        <v>657210</v>
      </c>
      <c r="AJ36" s="23"/>
    </row>
    <row r="37" spans="1:36" x14ac:dyDescent="0.25">
      <c r="A37" s="11" t="s">
        <v>162</v>
      </c>
      <c r="B37" s="5" t="s">
        <v>81</v>
      </c>
      <c r="C37" s="6" t="s">
        <v>208</v>
      </c>
      <c r="D37" s="92"/>
      <c r="E37" s="124"/>
      <c r="F37" s="92"/>
      <c r="G37" s="92"/>
      <c r="H37" s="95"/>
      <c r="I37" s="95">
        <v>1027908</v>
      </c>
      <c r="J37" s="95">
        <v>29231066</v>
      </c>
      <c r="K37" s="95">
        <v>33325377</v>
      </c>
      <c r="L37" s="95"/>
      <c r="M37" s="95"/>
      <c r="N37" s="95"/>
      <c r="O37" s="95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7">
        <f t="shared" si="0"/>
        <v>29231066</v>
      </c>
      <c r="AE37" s="7">
        <f t="shared" si="1"/>
        <v>34353285</v>
      </c>
      <c r="AF37" s="8"/>
      <c r="AG37" s="8"/>
      <c r="AH37" s="8">
        <f t="shared" si="2"/>
        <v>29231066</v>
      </c>
      <c r="AI37" s="146">
        <f t="shared" si="3"/>
        <v>34353285</v>
      </c>
      <c r="AJ37" s="23"/>
    </row>
    <row r="38" spans="1:36" x14ac:dyDescent="0.25">
      <c r="A38" s="11" t="s">
        <v>163</v>
      </c>
      <c r="B38" s="5" t="s">
        <v>81</v>
      </c>
      <c r="C38" s="6" t="s">
        <v>209</v>
      </c>
      <c r="D38" s="92"/>
      <c r="E38" s="124"/>
      <c r="F38" s="92"/>
      <c r="G38" s="92"/>
      <c r="H38" s="95"/>
      <c r="I38" s="95"/>
      <c r="J38" s="95"/>
      <c r="K38" s="95"/>
      <c r="L38" s="92"/>
      <c r="M38" s="92"/>
      <c r="N38" s="92"/>
      <c r="O38" s="92"/>
      <c r="P38" s="95"/>
      <c r="Q38" s="95"/>
      <c r="R38" s="95"/>
      <c r="S38" s="95"/>
      <c r="T38" s="92"/>
      <c r="U38" s="92"/>
      <c r="V38" s="97"/>
      <c r="W38" s="92"/>
      <c r="X38" s="7"/>
      <c r="Y38" s="92"/>
      <c r="Z38" s="67"/>
      <c r="AA38" s="92"/>
      <c r="AB38" s="92"/>
      <c r="AC38" s="92"/>
      <c r="AD38" s="7">
        <f t="shared" si="0"/>
        <v>0</v>
      </c>
      <c r="AE38" s="7">
        <f t="shared" si="1"/>
        <v>0</v>
      </c>
      <c r="AF38" s="8"/>
      <c r="AG38" s="8"/>
      <c r="AH38" s="8">
        <f t="shared" si="2"/>
        <v>0</v>
      </c>
      <c r="AI38" s="146">
        <f t="shared" si="3"/>
        <v>0</v>
      </c>
      <c r="AJ38" s="23"/>
    </row>
    <row r="39" spans="1:36" x14ac:dyDescent="0.25">
      <c r="A39" s="11" t="s">
        <v>164</v>
      </c>
      <c r="B39" s="5" t="s">
        <v>82</v>
      </c>
      <c r="C39" s="6" t="s">
        <v>223</v>
      </c>
      <c r="D39" s="92"/>
      <c r="E39" s="124"/>
      <c r="F39" s="92"/>
      <c r="G39" s="92"/>
      <c r="H39" s="95"/>
      <c r="I39" s="95"/>
      <c r="J39" s="95"/>
      <c r="K39" s="95"/>
      <c r="L39" s="92"/>
      <c r="M39" s="92"/>
      <c r="N39" s="92"/>
      <c r="O39" s="92"/>
      <c r="P39" s="95"/>
      <c r="Q39" s="95"/>
      <c r="R39" s="95"/>
      <c r="S39" s="95"/>
      <c r="T39" s="92"/>
      <c r="U39" s="92"/>
      <c r="V39" s="97"/>
      <c r="W39" s="92"/>
      <c r="X39" s="7"/>
      <c r="Y39" s="92"/>
      <c r="Z39" s="67"/>
      <c r="AA39" s="92"/>
      <c r="AB39" s="92"/>
      <c r="AC39" s="92"/>
      <c r="AD39" s="7">
        <f t="shared" si="0"/>
        <v>0</v>
      </c>
      <c r="AE39" s="7">
        <f t="shared" si="1"/>
        <v>0</v>
      </c>
      <c r="AF39" s="8"/>
      <c r="AG39" s="8"/>
      <c r="AH39" s="8">
        <f t="shared" si="2"/>
        <v>0</v>
      </c>
      <c r="AI39" s="146">
        <f t="shared" si="3"/>
        <v>0</v>
      </c>
      <c r="AJ39" s="23"/>
    </row>
    <row r="40" spans="1:36" x14ac:dyDescent="0.25">
      <c r="A40" s="11" t="s">
        <v>165</v>
      </c>
      <c r="B40" s="5" t="s">
        <v>81</v>
      </c>
      <c r="C40" s="6" t="s">
        <v>123</v>
      </c>
      <c r="D40" s="93"/>
      <c r="E40" s="113"/>
      <c r="F40" s="93"/>
      <c r="G40" s="93"/>
      <c r="H40" s="96"/>
      <c r="I40" s="96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2"/>
      <c r="W40" s="92"/>
      <c r="X40" s="92"/>
      <c r="Y40" s="92"/>
      <c r="Z40" s="92"/>
      <c r="AA40" s="92"/>
      <c r="AB40" s="92"/>
      <c r="AC40" s="92"/>
      <c r="AD40" s="7">
        <f t="shared" si="0"/>
        <v>0</v>
      </c>
      <c r="AE40" s="7">
        <f t="shared" si="1"/>
        <v>0</v>
      </c>
      <c r="AF40" s="8"/>
      <c r="AG40" s="8"/>
      <c r="AH40" s="8">
        <f t="shared" si="2"/>
        <v>0</v>
      </c>
      <c r="AI40" s="146">
        <f t="shared" si="3"/>
        <v>0</v>
      </c>
      <c r="AJ40" s="23"/>
    </row>
    <row r="41" spans="1:36" x14ac:dyDescent="0.25">
      <c r="A41" s="11" t="s">
        <v>166</v>
      </c>
      <c r="B41" s="5" t="s">
        <v>82</v>
      </c>
      <c r="C41" s="6" t="s">
        <v>210</v>
      </c>
      <c r="D41" s="93"/>
      <c r="E41" s="113"/>
      <c r="F41" s="93"/>
      <c r="G41" s="93"/>
      <c r="H41" s="96"/>
      <c r="I41" s="96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2"/>
      <c r="W41" s="92"/>
      <c r="X41" s="92"/>
      <c r="Y41" s="92"/>
      <c r="Z41" s="92"/>
      <c r="AA41" s="92"/>
      <c r="AB41" s="92"/>
      <c r="AC41" s="92"/>
      <c r="AD41" s="7">
        <f t="shared" si="0"/>
        <v>0</v>
      </c>
      <c r="AE41" s="7">
        <f t="shared" si="1"/>
        <v>0</v>
      </c>
      <c r="AF41" s="8"/>
      <c r="AG41" s="8"/>
      <c r="AH41" s="8">
        <f t="shared" si="2"/>
        <v>0</v>
      </c>
      <c r="AI41" s="146">
        <f t="shared" si="3"/>
        <v>0</v>
      </c>
      <c r="AJ41" s="23"/>
    </row>
    <row r="42" spans="1:36" ht="15.75" x14ac:dyDescent="0.25">
      <c r="A42" s="11" t="s">
        <v>167</v>
      </c>
      <c r="B42" s="5"/>
      <c r="C42" s="13" t="s">
        <v>96</v>
      </c>
      <c r="D42" s="7">
        <f>SUM(D7:D41)</f>
        <v>64260261</v>
      </c>
      <c r="E42" s="7">
        <f t="shared" ref="E42:AG42" si="4">SUM(E7:E41)</f>
        <v>113951825</v>
      </c>
      <c r="F42" s="7">
        <f t="shared" si="4"/>
        <v>7318924</v>
      </c>
      <c r="G42" s="7">
        <f t="shared" si="4"/>
        <v>10414501</v>
      </c>
      <c r="H42" s="7">
        <f t="shared" si="4"/>
        <v>138631847</v>
      </c>
      <c r="I42" s="7">
        <f t="shared" si="4"/>
        <v>182168792</v>
      </c>
      <c r="J42" s="7">
        <f t="shared" si="4"/>
        <v>29231066</v>
      </c>
      <c r="K42" s="7">
        <f t="shared" si="4"/>
        <v>33325377</v>
      </c>
      <c r="L42" s="7">
        <f t="shared" si="4"/>
        <v>28125240</v>
      </c>
      <c r="M42" s="7">
        <f t="shared" si="4"/>
        <v>28511877</v>
      </c>
      <c r="N42" s="7">
        <f t="shared" si="4"/>
        <v>12389170</v>
      </c>
      <c r="O42" s="7">
        <f t="shared" si="4"/>
        <v>22311871</v>
      </c>
      <c r="P42" s="7">
        <f t="shared" si="4"/>
        <v>5000000</v>
      </c>
      <c r="Q42" s="7">
        <f t="shared" si="4"/>
        <v>5000000</v>
      </c>
      <c r="R42" s="7">
        <f t="shared" si="4"/>
        <v>0</v>
      </c>
      <c r="S42" s="7">
        <f t="shared" si="4"/>
        <v>0</v>
      </c>
      <c r="T42" s="7">
        <f t="shared" si="4"/>
        <v>217049899</v>
      </c>
      <c r="U42" s="7">
        <f>SUM(U7:U41)</f>
        <v>829486635</v>
      </c>
      <c r="V42" s="7">
        <f>SUM(V7:V41)</f>
        <v>78562019</v>
      </c>
      <c r="W42" s="7">
        <f t="shared" si="4"/>
        <v>208395985</v>
      </c>
      <c r="X42" s="7">
        <f t="shared" si="4"/>
        <v>142901586</v>
      </c>
      <c r="Y42" s="654">
        <f t="shared" si="4"/>
        <v>96300175</v>
      </c>
      <c r="Z42" s="7">
        <f t="shared" si="4"/>
        <v>21732794</v>
      </c>
      <c r="AA42" s="7">
        <f t="shared" si="4"/>
        <v>24319431</v>
      </c>
      <c r="AB42" s="7">
        <f t="shared" si="4"/>
        <v>0</v>
      </c>
      <c r="AC42" s="7">
        <f t="shared" si="4"/>
        <v>0</v>
      </c>
      <c r="AD42" s="7">
        <f t="shared" si="4"/>
        <v>745202806</v>
      </c>
      <c r="AE42" s="7">
        <f t="shared" si="1"/>
        <v>1554186469</v>
      </c>
      <c r="AF42" s="7">
        <f t="shared" ca="1" si="4"/>
        <v>486765868</v>
      </c>
      <c r="AG42" s="7">
        <f t="shared" si="4"/>
        <v>526934431</v>
      </c>
      <c r="AH42" s="8">
        <f t="shared" ca="1" si="2"/>
        <v>1231968674</v>
      </c>
      <c r="AI42" s="654">
        <f>SUM(AI7:AI41)</f>
        <v>2081120900</v>
      </c>
      <c r="AJ42" s="23"/>
    </row>
    <row r="43" spans="1:36" ht="15.75" x14ac:dyDescent="0.25">
      <c r="A43" s="11" t="s">
        <v>168</v>
      </c>
      <c r="B43" s="5"/>
      <c r="C43" s="13" t="s">
        <v>127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35"/>
      <c r="AJ43" s="23"/>
    </row>
    <row r="44" spans="1:36" ht="15.75" x14ac:dyDescent="0.25">
      <c r="A44" s="11" t="s">
        <v>169</v>
      </c>
      <c r="B44" s="11"/>
      <c r="C44" s="41" t="s">
        <v>128</v>
      </c>
      <c r="D44" s="69">
        <v>1</v>
      </c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23"/>
    </row>
    <row r="45" spans="1:36" ht="15.75" x14ac:dyDescent="0.25">
      <c r="A45" s="11" t="s">
        <v>170</v>
      </c>
      <c r="B45" s="11"/>
      <c r="C45" s="41" t="s">
        <v>129</v>
      </c>
      <c r="D45" s="69">
        <v>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36" ht="15.75" x14ac:dyDescent="0.25">
      <c r="A46" s="11" t="s">
        <v>171</v>
      </c>
      <c r="B46" s="11"/>
      <c r="C46" s="41" t="s">
        <v>508</v>
      </c>
      <c r="D46" s="69">
        <v>0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23"/>
    </row>
    <row r="47" spans="1:36" ht="15.75" x14ac:dyDescent="0.25">
      <c r="A47" s="11" t="s">
        <v>172</v>
      </c>
      <c r="B47" s="11"/>
      <c r="C47" s="41" t="s">
        <v>507</v>
      </c>
      <c r="D47" s="69">
        <v>61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36" ht="15.75" x14ac:dyDescent="0.25">
      <c r="A48" s="11" t="s">
        <v>173</v>
      </c>
      <c r="B48" s="11"/>
      <c r="C48" s="41" t="s">
        <v>193</v>
      </c>
      <c r="D48" s="69">
        <v>3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23"/>
    </row>
    <row r="49" spans="1:36" s="19" customFormat="1" ht="15.75" x14ac:dyDescent="0.25">
      <c r="A49" s="11" t="s">
        <v>174</v>
      </c>
      <c r="B49" s="40"/>
      <c r="C49" s="42" t="s">
        <v>68</v>
      </c>
      <c r="D49" s="7">
        <f>SUM(D44:D48)</f>
        <v>71</v>
      </c>
      <c r="E49" s="7">
        <f>SUM(E44:E48)</f>
        <v>0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35"/>
      <c r="AJ49" s="141"/>
    </row>
    <row r="50" spans="1:36" s="152" customFormat="1" ht="15.75" x14ac:dyDescent="0.25">
      <c r="A50" s="149" t="s">
        <v>175</v>
      </c>
      <c r="B50" s="149"/>
      <c r="C50" s="150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</row>
    <row r="51" spans="1:36" x14ac:dyDescent="0.25">
      <c r="A51" s="11" t="s">
        <v>176</v>
      </c>
      <c r="B51" s="5"/>
      <c r="C51" s="16" t="s">
        <v>86</v>
      </c>
      <c r="D51" s="67">
        <f t="shared" ref="D51:AI51" si="5">SUMIF($B7:$B41,"kötelező",D7:D41)</f>
        <v>64260261</v>
      </c>
      <c r="E51" s="67">
        <f t="shared" si="5"/>
        <v>113771825</v>
      </c>
      <c r="F51" s="67">
        <f t="shared" si="5"/>
        <v>7318924</v>
      </c>
      <c r="G51" s="67">
        <f t="shared" si="5"/>
        <v>10414501</v>
      </c>
      <c r="H51" s="67">
        <f t="shared" si="5"/>
        <v>121338745</v>
      </c>
      <c r="I51" s="67">
        <f t="shared" si="5"/>
        <v>164511460</v>
      </c>
      <c r="J51" s="67">
        <f t="shared" si="5"/>
        <v>29231066</v>
      </c>
      <c r="K51" s="67">
        <f t="shared" si="5"/>
        <v>33325377</v>
      </c>
      <c r="L51" s="67">
        <f t="shared" si="5"/>
        <v>24825240</v>
      </c>
      <c r="M51" s="67">
        <f t="shared" si="5"/>
        <v>25211877</v>
      </c>
      <c r="N51" s="67">
        <f t="shared" si="5"/>
        <v>12389170</v>
      </c>
      <c r="O51" s="67">
        <f t="shared" si="5"/>
        <v>22311871</v>
      </c>
      <c r="P51" s="67">
        <f t="shared" si="5"/>
        <v>5000000</v>
      </c>
      <c r="Q51" s="67">
        <f t="shared" si="5"/>
        <v>5000000</v>
      </c>
      <c r="R51" s="67">
        <f t="shared" si="5"/>
        <v>0</v>
      </c>
      <c r="S51" s="67">
        <f t="shared" si="5"/>
        <v>0</v>
      </c>
      <c r="T51" s="67">
        <f t="shared" si="5"/>
        <v>157012104</v>
      </c>
      <c r="U51" s="67">
        <f t="shared" si="5"/>
        <v>796418731</v>
      </c>
      <c r="V51" s="67">
        <f t="shared" si="5"/>
        <v>42358968</v>
      </c>
      <c r="W51" s="67">
        <f t="shared" si="5"/>
        <v>184642126</v>
      </c>
      <c r="X51" s="67">
        <f t="shared" si="5"/>
        <v>142901586</v>
      </c>
      <c r="Y51" s="67">
        <f t="shared" si="5"/>
        <v>96300175</v>
      </c>
      <c r="Z51" s="67">
        <f t="shared" si="5"/>
        <v>21732794</v>
      </c>
      <c r="AA51" s="67">
        <f t="shared" si="5"/>
        <v>24319431</v>
      </c>
      <c r="AB51" s="67">
        <f t="shared" si="5"/>
        <v>0</v>
      </c>
      <c r="AC51" s="67">
        <f t="shared" si="5"/>
        <v>0</v>
      </c>
      <c r="AD51" s="67">
        <f t="shared" si="5"/>
        <v>628368858</v>
      </c>
      <c r="AE51" s="67">
        <f t="shared" si="5"/>
        <v>1476227374</v>
      </c>
      <c r="AF51" s="67">
        <f t="shared" ca="1" si="5"/>
        <v>486765868</v>
      </c>
      <c r="AG51" s="67">
        <f t="shared" si="5"/>
        <v>526934431</v>
      </c>
      <c r="AH51" s="67">
        <f t="shared" ca="1" si="5"/>
        <v>1115134726</v>
      </c>
      <c r="AI51" s="67">
        <f t="shared" si="5"/>
        <v>2003161805</v>
      </c>
    </row>
    <row r="52" spans="1:36" x14ac:dyDescent="0.25">
      <c r="A52" s="11" t="s">
        <v>177</v>
      </c>
      <c r="B52" s="5"/>
      <c r="C52" s="16" t="s">
        <v>87</v>
      </c>
      <c r="D52" s="67">
        <f t="shared" ref="D52:AI52" si="6">SUMIF($B7:$B41,"nem kötelező",D7:D41)</f>
        <v>0</v>
      </c>
      <c r="E52" s="67">
        <f t="shared" si="6"/>
        <v>180000</v>
      </c>
      <c r="F52" s="67">
        <f t="shared" si="6"/>
        <v>0</v>
      </c>
      <c r="G52" s="67">
        <f t="shared" si="6"/>
        <v>0</v>
      </c>
      <c r="H52" s="67">
        <f t="shared" si="6"/>
        <v>17293102</v>
      </c>
      <c r="I52" s="67">
        <f t="shared" si="6"/>
        <v>17657332</v>
      </c>
      <c r="J52" s="67">
        <f t="shared" si="6"/>
        <v>0</v>
      </c>
      <c r="K52" s="67">
        <f t="shared" si="6"/>
        <v>0</v>
      </c>
      <c r="L52" s="67">
        <f t="shared" si="6"/>
        <v>3300000</v>
      </c>
      <c r="M52" s="67">
        <f t="shared" si="6"/>
        <v>3300000</v>
      </c>
      <c r="N52" s="67">
        <f t="shared" si="6"/>
        <v>0</v>
      </c>
      <c r="O52" s="67">
        <f t="shared" si="6"/>
        <v>0</v>
      </c>
      <c r="P52" s="67">
        <f t="shared" si="6"/>
        <v>0</v>
      </c>
      <c r="Q52" s="67">
        <f t="shared" si="6"/>
        <v>0</v>
      </c>
      <c r="R52" s="67">
        <f t="shared" si="6"/>
        <v>0</v>
      </c>
      <c r="S52" s="67">
        <f t="shared" si="6"/>
        <v>0</v>
      </c>
      <c r="T52" s="67">
        <f t="shared" si="6"/>
        <v>60037795</v>
      </c>
      <c r="U52" s="67">
        <f t="shared" si="6"/>
        <v>33067904</v>
      </c>
      <c r="V52" s="67">
        <f t="shared" si="6"/>
        <v>36203051</v>
      </c>
      <c r="W52" s="67">
        <f t="shared" si="6"/>
        <v>23753859</v>
      </c>
      <c r="X52" s="67">
        <f t="shared" si="6"/>
        <v>0</v>
      </c>
      <c r="Y52" s="67">
        <f t="shared" si="6"/>
        <v>0</v>
      </c>
      <c r="Z52" s="67">
        <f t="shared" si="6"/>
        <v>0</v>
      </c>
      <c r="AA52" s="67">
        <f t="shared" si="6"/>
        <v>0</v>
      </c>
      <c r="AB52" s="67">
        <f t="shared" si="6"/>
        <v>0</v>
      </c>
      <c r="AC52" s="67">
        <f t="shared" si="6"/>
        <v>0</v>
      </c>
      <c r="AD52" s="67">
        <f t="shared" si="6"/>
        <v>116833948</v>
      </c>
      <c r="AE52" s="67">
        <f t="shared" si="6"/>
        <v>77959095</v>
      </c>
      <c r="AF52" s="67">
        <f t="shared" si="6"/>
        <v>0</v>
      </c>
      <c r="AG52" s="67">
        <f t="shared" si="6"/>
        <v>0</v>
      </c>
      <c r="AH52" s="67">
        <f t="shared" si="6"/>
        <v>116833948</v>
      </c>
      <c r="AI52" s="67">
        <f t="shared" si="6"/>
        <v>77959095</v>
      </c>
      <c r="AJ52" s="659"/>
    </row>
    <row r="53" spans="1:36" s="19" customFormat="1" x14ac:dyDescent="0.25">
      <c r="A53" s="11" t="s">
        <v>178</v>
      </c>
      <c r="B53" s="17"/>
      <c r="C53" s="18" t="s">
        <v>240</v>
      </c>
      <c r="D53" s="94">
        <f>SUM(D54:D55)</f>
        <v>99373301</v>
      </c>
      <c r="E53" s="94">
        <f>SUM(E54:E55)</f>
        <v>103505139</v>
      </c>
      <c r="F53" s="94">
        <f t="shared" ref="F53:AG53" si="7">SUM(F54:F55)</f>
        <v>13992867</v>
      </c>
      <c r="G53" s="94">
        <f t="shared" si="7"/>
        <v>14648238</v>
      </c>
      <c r="H53" s="94">
        <f t="shared" si="7"/>
        <v>7813010</v>
      </c>
      <c r="I53" s="94">
        <f t="shared" si="7"/>
        <v>8171102</v>
      </c>
      <c r="J53" s="94">
        <f t="shared" si="7"/>
        <v>0</v>
      </c>
      <c r="K53" s="94">
        <f t="shared" si="7"/>
        <v>0</v>
      </c>
      <c r="L53" s="94">
        <f t="shared" si="7"/>
        <v>0</v>
      </c>
      <c r="M53" s="94">
        <f t="shared" si="7"/>
        <v>0</v>
      </c>
      <c r="N53" s="94">
        <f t="shared" si="7"/>
        <v>0</v>
      </c>
      <c r="O53" s="94">
        <f t="shared" si="7"/>
        <v>0</v>
      </c>
      <c r="P53" s="94">
        <f t="shared" si="7"/>
        <v>0</v>
      </c>
      <c r="Q53" s="94">
        <f t="shared" si="7"/>
        <v>0</v>
      </c>
      <c r="R53" s="94">
        <v>0</v>
      </c>
      <c r="S53" s="94">
        <v>0</v>
      </c>
      <c r="T53" s="94">
        <f t="shared" si="7"/>
        <v>444500</v>
      </c>
      <c r="U53" s="94">
        <f t="shared" si="7"/>
        <v>444500</v>
      </c>
      <c r="V53" s="94">
        <f t="shared" si="7"/>
        <v>0</v>
      </c>
      <c r="W53" s="94"/>
      <c r="X53" s="94">
        <f t="shared" si="7"/>
        <v>0</v>
      </c>
      <c r="Y53" s="94"/>
      <c r="Z53" s="94">
        <f t="shared" si="7"/>
        <v>0</v>
      </c>
      <c r="AA53" s="94"/>
      <c r="AB53" s="94"/>
      <c r="AC53" s="94"/>
      <c r="AD53" s="94">
        <f>SUM(AD54:AD55)</f>
        <v>121623678</v>
      </c>
      <c r="AE53" s="94">
        <f>AE54+AE55</f>
        <v>126768979</v>
      </c>
      <c r="AF53" s="120">
        <f t="shared" si="7"/>
        <v>0</v>
      </c>
      <c r="AG53" s="120">
        <f t="shared" si="7"/>
        <v>120105010</v>
      </c>
      <c r="AH53" s="120">
        <f>AD53+AF53</f>
        <v>121623678</v>
      </c>
      <c r="AI53" s="8">
        <f>AE53</f>
        <v>126768979</v>
      </c>
      <c r="AJ53" s="141"/>
    </row>
    <row r="54" spans="1:36" x14ac:dyDescent="0.25">
      <c r="A54" s="11" t="s">
        <v>179</v>
      </c>
      <c r="B54" s="5" t="s">
        <v>118</v>
      </c>
      <c r="C54" s="20" t="s">
        <v>117</v>
      </c>
      <c r="D54" s="92">
        <f>'7.PMH kiad'!D8</f>
        <v>12329631</v>
      </c>
      <c r="E54" s="92">
        <f>'7.PMH kiad'!E12</f>
        <v>12329631</v>
      </c>
      <c r="F54" s="92">
        <f>'7.PMH kiad'!F8</f>
        <v>1626554</v>
      </c>
      <c r="G54" s="92">
        <f>'7.PMH kiad'!G12</f>
        <v>1626554</v>
      </c>
      <c r="H54" s="92">
        <f>'7.PMH kiad'!H8</f>
        <v>937561</v>
      </c>
      <c r="I54" s="92">
        <f>'7.PMH kiad'!I12</f>
        <v>937561</v>
      </c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>
        <f>D54+F54+H54+J54+L54+N54+P54+R54+T54+V54+X54+Z54</f>
        <v>14893746</v>
      </c>
      <c r="AE54" s="94">
        <f>E54+G54+I54</f>
        <v>14893746</v>
      </c>
      <c r="AF54" s="121"/>
      <c r="AG54" s="121">
        <f>'3.mellékletPH.bev.'!Q11</f>
        <v>13956185</v>
      </c>
      <c r="AH54" s="120">
        <f t="shared" ref="AH54:AH61" si="8">AD54+AF54</f>
        <v>14893746</v>
      </c>
      <c r="AI54" s="8">
        <f t="shared" ref="AI54:AI61" si="9">AE54</f>
        <v>14893746</v>
      </c>
      <c r="AJ54" s="23"/>
    </row>
    <row r="55" spans="1:36" x14ac:dyDescent="0.25">
      <c r="A55" s="11" t="s">
        <v>180</v>
      </c>
      <c r="B55" s="5" t="s">
        <v>81</v>
      </c>
      <c r="C55" s="20" t="s">
        <v>86</v>
      </c>
      <c r="D55" s="92">
        <f>'7.PMH kiad'!D7</f>
        <v>87043670</v>
      </c>
      <c r="E55" s="92">
        <f>'7.PMH kiad'!E13</f>
        <v>91175508</v>
      </c>
      <c r="F55" s="92">
        <f>'7.PMH kiad'!F7</f>
        <v>12366313</v>
      </c>
      <c r="G55" s="92">
        <f>'7.PMH kiad'!G13</f>
        <v>13021684</v>
      </c>
      <c r="H55" s="92">
        <f>'7.PMH kiad'!H7</f>
        <v>6875449</v>
      </c>
      <c r="I55" s="92">
        <f>'7.PMH kiad'!I13</f>
        <v>7233541</v>
      </c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>
        <f>'7.PMH kiad'!N13</f>
        <v>444500</v>
      </c>
      <c r="U55" s="92">
        <f>'7.PMH kiad'!O13</f>
        <v>444500</v>
      </c>
      <c r="V55" s="92"/>
      <c r="W55" s="92"/>
      <c r="X55" s="92"/>
      <c r="Y55" s="92"/>
      <c r="Z55" s="92"/>
      <c r="AA55" s="92"/>
      <c r="AB55" s="92"/>
      <c r="AC55" s="92"/>
      <c r="AD55" s="92">
        <f>D55+F55+H55+J55+L55+N55+P55+R55+T55+V55+X55+Z55</f>
        <v>106729932</v>
      </c>
      <c r="AE55" s="92">
        <f>E55+G55+I55+K55+M55+O55+Q55+S55+U55+W55+Y55+AA55+AC55</f>
        <v>111875233</v>
      </c>
      <c r="AF55" s="121"/>
      <c r="AG55" s="121">
        <f>'3.mellékletPH.bev.'!Q10</f>
        <v>106148825</v>
      </c>
      <c r="AH55" s="120">
        <f t="shared" si="8"/>
        <v>106729932</v>
      </c>
      <c r="AI55" s="8">
        <f t="shared" si="9"/>
        <v>111875233</v>
      </c>
    </row>
    <row r="56" spans="1:36" s="19" customFormat="1" x14ac:dyDescent="0.25">
      <c r="A56" s="11" t="s">
        <v>181</v>
      </c>
      <c r="B56" s="17"/>
      <c r="C56" s="18" t="s">
        <v>245</v>
      </c>
      <c r="D56" s="94">
        <f>SUM(D57:D58)</f>
        <v>126769171</v>
      </c>
      <c r="E56" s="94">
        <f>SUM(E57:E58)</f>
        <v>128358379</v>
      </c>
      <c r="F56" s="94">
        <f t="shared" ref="F56:AG56" si="10">SUM(F57:F58)</f>
        <v>16341759</v>
      </c>
      <c r="G56" s="94">
        <f t="shared" si="10"/>
        <v>17304158</v>
      </c>
      <c r="H56" s="94">
        <f t="shared" si="10"/>
        <v>40766737</v>
      </c>
      <c r="I56" s="94">
        <f t="shared" si="10"/>
        <v>45731686</v>
      </c>
      <c r="J56" s="94">
        <f t="shared" si="10"/>
        <v>0</v>
      </c>
      <c r="K56" s="94">
        <f t="shared" si="10"/>
        <v>0</v>
      </c>
      <c r="L56" s="94">
        <f t="shared" si="10"/>
        <v>0</v>
      </c>
      <c r="M56" s="94">
        <f t="shared" si="10"/>
        <v>0</v>
      </c>
      <c r="N56" s="94">
        <f t="shared" si="10"/>
        <v>0</v>
      </c>
      <c r="O56" s="94">
        <f t="shared" si="10"/>
        <v>0</v>
      </c>
      <c r="P56" s="94">
        <f t="shared" si="10"/>
        <v>0</v>
      </c>
      <c r="Q56" s="94">
        <f t="shared" si="10"/>
        <v>0</v>
      </c>
      <c r="R56" s="94">
        <f t="shared" si="10"/>
        <v>0</v>
      </c>
      <c r="S56" s="94">
        <f t="shared" si="10"/>
        <v>0</v>
      </c>
      <c r="T56" s="94">
        <f t="shared" si="10"/>
        <v>876064</v>
      </c>
      <c r="U56" s="94">
        <f t="shared" si="10"/>
        <v>1933272</v>
      </c>
      <c r="V56" s="94">
        <f t="shared" si="10"/>
        <v>0</v>
      </c>
      <c r="W56" s="94">
        <f t="shared" si="10"/>
        <v>0</v>
      </c>
      <c r="X56" s="94">
        <f t="shared" si="10"/>
        <v>0</v>
      </c>
      <c r="Y56" s="94">
        <f t="shared" si="10"/>
        <v>0</v>
      </c>
      <c r="Z56" s="94">
        <f t="shared" si="10"/>
        <v>0</v>
      </c>
      <c r="AA56" s="94">
        <f t="shared" si="10"/>
        <v>0</v>
      </c>
      <c r="AB56" s="94"/>
      <c r="AC56" s="94"/>
      <c r="AD56" s="94">
        <f>D56+F56+H56+J56+L56+N56+P56+R56+T56+V56+X56+Z56</f>
        <v>184753731</v>
      </c>
      <c r="AE56" s="92">
        <f>AE57+AE58</f>
        <v>193327495</v>
      </c>
      <c r="AF56" s="120">
        <f t="shared" si="10"/>
        <v>0</v>
      </c>
      <c r="AG56" s="120">
        <f t="shared" si="10"/>
        <v>191963493</v>
      </c>
      <c r="AH56" s="120">
        <f t="shared" si="8"/>
        <v>184753731</v>
      </c>
      <c r="AI56" s="689">
        <f>AI57+AI58</f>
        <v>193327495</v>
      </c>
    </row>
    <row r="57" spans="1:36" x14ac:dyDescent="0.25">
      <c r="A57" s="11" t="s">
        <v>182</v>
      </c>
      <c r="B57" s="5" t="s">
        <v>81</v>
      </c>
      <c r="C57" s="20" t="s">
        <v>86</v>
      </c>
      <c r="D57" s="92">
        <f>'9. Óvoda kiad'!D13</f>
        <v>126769171</v>
      </c>
      <c r="E57" s="92">
        <f>'9. Óvoda kiad'!E13</f>
        <v>128358379</v>
      </c>
      <c r="F57" s="92">
        <f>'9. Óvoda kiad'!F13</f>
        <v>16341759</v>
      </c>
      <c r="G57" s="92">
        <f>'9. Óvoda kiad'!G13</f>
        <v>17304158</v>
      </c>
      <c r="H57" s="92">
        <f>'9. Óvoda kiad'!H13</f>
        <v>40766737</v>
      </c>
      <c r="I57" s="92">
        <f>'9. Óvoda kiad'!I13</f>
        <v>45731686</v>
      </c>
      <c r="J57" s="92"/>
      <c r="K57" s="92">
        <f>'9. Óvoda kiad'!K13</f>
        <v>0</v>
      </c>
      <c r="L57" s="92"/>
      <c r="M57" s="92"/>
      <c r="N57" s="92"/>
      <c r="O57" s="92"/>
      <c r="P57" s="92"/>
      <c r="Q57" s="92"/>
      <c r="R57" s="92"/>
      <c r="S57" s="92"/>
      <c r="T57" s="92">
        <f>'9. Óvoda kiad'!N13</f>
        <v>876064</v>
      </c>
      <c r="U57" s="92">
        <f>'9. Óvoda kiad'!O13</f>
        <v>1933272</v>
      </c>
      <c r="V57" s="92"/>
      <c r="W57" s="92"/>
      <c r="X57" s="92"/>
      <c r="Y57" s="92"/>
      <c r="Z57" s="92"/>
      <c r="AA57" s="92"/>
      <c r="AB57" s="92"/>
      <c r="AC57" s="92"/>
      <c r="AD57" s="92">
        <f t="shared" ref="AD57:AD61" si="11">D57+F57+H57+J57+L57+N57+P57+R57+T57+V57+X57+Z57</f>
        <v>184753731</v>
      </c>
      <c r="AE57" s="92">
        <f>E57+G57+I57+U57</f>
        <v>193327495</v>
      </c>
      <c r="AF57" s="121"/>
      <c r="AG57" s="121">
        <f>'5. Óvoda bev'!Q15</f>
        <v>191963493</v>
      </c>
      <c r="AH57" s="120">
        <f t="shared" si="8"/>
        <v>184753731</v>
      </c>
      <c r="AI57" s="8">
        <f t="shared" si="9"/>
        <v>193327495</v>
      </c>
    </row>
    <row r="58" spans="1:36" x14ac:dyDescent="0.25">
      <c r="A58" s="11" t="s">
        <v>183</v>
      </c>
      <c r="B58" s="5" t="s">
        <v>82</v>
      </c>
      <c r="C58" s="20" t="s">
        <v>87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>
        <f t="shared" si="11"/>
        <v>0</v>
      </c>
      <c r="AE58" s="92">
        <f t="shared" ref="AE58:AE61" si="12">E58+G58+I58+K58+M58+O58+Q58+S58+U58+W58+Y58+AA58+AC58</f>
        <v>0</v>
      </c>
      <c r="AF58" s="121"/>
      <c r="AG58" s="121"/>
      <c r="AH58" s="120">
        <f t="shared" si="8"/>
        <v>0</v>
      </c>
      <c r="AI58" s="8">
        <f t="shared" si="9"/>
        <v>0</v>
      </c>
    </row>
    <row r="59" spans="1:36" s="19" customFormat="1" x14ac:dyDescent="0.25">
      <c r="A59" s="11" t="s">
        <v>184</v>
      </c>
      <c r="B59" s="17"/>
      <c r="C59" s="18" t="s">
        <v>246</v>
      </c>
      <c r="D59" s="94">
        <f>SUM(D60:D61)</f>
        <v>140431980</v>
      </c>
      <c r="E59" s="94">
        <f>SUM(E60:E61)</f>
        <v>159666663</v>
      </c>
      <c r="F59" s="94">
        <f t="shared" ref="F59:AG59" si="13">SUM(F60:F61)</f>
        <v>19104846</v>
      </c>
      <c r="G59" s="94">
        <f t="shared" si="13"/>
        <v>20558957</v>
      </c>
      <c r="H59" s="94">
        <f t="shared" si="13"/>
        <v>96569546</v>
      </c>
      <c r="I59" s="94">
        <f t="shared" si="13"/>
        <v>121006689</v>
      </c>
      <c r="J59" s="94">
        <f t="shared" si="13"/>
        <v>0</v>
      </c>
      <c r="K59" s="94">
        <f t="shared" si="13"/>
        <v>0</v>
      </c>
      <c r="L59" s="94">
        <f t="shared" si="13"/>
        <v>0</v>
      </c>
      <c r="M59" s="94">
        <f t="shared" si="13"/>
        <v>0</v>
      </c>
      <c r="N59" s="94">
        <f t="shared" si="13"/>
        <v>0</v>
      </c>
      <c r="O59" s="94">
        <f t="shared" si="13"/>
        <v>0</v>
      </c>
      <c r="P59" s="94">
        <f t="shared" si="13"/>
        <v>0</v>
      </c>
      <c r="Q59" s="94">
        <f t="shared" si="13"/>
        <v>0</v>
      </c>
      <c r="R59" s="94">
        <v>0</v>
      </c>
      <c r="S59" s="94">
        <v>0</v>
      </c>
      <c r="T59" s="94">
        <f t="shared" si="13"/>
        <v>4110002</v>
      </c>
      <c r="U59" s="94">
        <f t="shared" si="13"/>
        <v>4063216</v>
      </c>
      <c r="V59" s="94">
        <f t="shared" si="13"/>
        <v>7300000</v>
      </c>
      <c r="W59" s="94">
        <f t="shared" si="13"/>
        <v>0</v>
      </c>
      <c r="X59" s="94">
        <f t="shared" si="13"/>
        <v>0</v>
      </c>
      <c r="Y59" s="94">
        <f t="shared" si="13"/>
        <v>0</v>
      </c>
      <c r="Z59" s="94">
        <f t="shared" si="13"/>
        <v>0</v>
      </c>
      <c r="AA59" s="94">
        <f t="shared" si="13"/>
        <v>0</v>
      </c>
      <c r="AB59" s="94">
        <f t="shared" si="13"/>
        <v>0</v>
      </c>
      <c r="AC59" s="94">
        <f t="shared" si="13"/>
        <v>0</v>
      </c>
      <c r="AD59" s="94">
        <f t="shared" si="13"/>
        <v>267516374</v>
      </c>
      <c r="AE59" s="94">
        <f t="shared" si="13"/>
        <v>305295525</v>
      </c>
      <c r="AF59" s="94">
        <f t="shared" si="13"/>
        <v>0</v>
      </c>
      <c r="AG59" s="120">
        <f t="shared" ca="1" si="13"/>
        <v>214865928</v>
      </c>
      <c r="AH59" s="120">
        <f t="shared" si="8"/>
        <v>267516374</v>
      </c>
      <c r="AI59" s="8">
        <f t="shared" si="9"/>
        <v>305295525</v>
      </c>
      <c r="AJ59" s="141"/>
    </row>
    <row r="60" spans="1:36" x14ac:dyDescent="0.25">
      <c r="A60" s="11" t="s">
        <v>185</v>
      </c>
      <c r="B60" s="5" t="s">
        <v>81</v>
      </c>
      <c r="C60" s="20" t="s">
        <v>86</v>
      </c>
      <c r="D60" s="92">
        <f>'8.ESZI kiad'!D15</f>
        <v>19484875</v>
      </c>
      <c r="E60" s="92">
        <f>'8.ESZI kiad'!E15</f>
        <v>22824278</v>
      </c>
      <c r="F60" s="92">
        <f>'8.ESZI kiad'!F15</f>
        <v>2885912</v>
      </c>
      <c r="G60" s="92">
        <f>'8.ESZI kiad'!G15</f>
        <v>3282979</v>
      </c>
      <c r="H60" s="92">
        <f>'8.ESZI kiad'!H15</f>
        <v>8688432</v>
      </c>
      <c r="I60" s="92">
        <f>'8.ESZI kiad'!I15</f>
        <v>13030501</v>
      </c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>
        <f>'8.ESZI kiad'!N15</f>
        <v>300000</v>
      </c>
      <c r="U60" s="92">
        <f>'8.ESZI kiad'!O15</f>
        <v>479057</v>
      </c>
      <c r="V60" s="92"/>
      <c r="W60" s="92"/>
      <c r="X60" s="92"/>
      <c r="Y60" s="92"/>
      <c r="Z60" s="92"/>
      <c r="AA60" s="92"/>
      <c r="AB60" s="92"/>
      <c r="AC60" s="92"/>
      <c r="AD60" s="92">
        <f t="shared" si="11"/>
        <v>31359219</v>
      </c>
      <c r="AE60" s="92">
        <f t="shared" si="12"/>
        <v>39616815</v>
      </c>
      <c r="AF60" s="121"/>
      <c r="AG60" s="121">
        <f ca="1">'4 ESZI bev'!Q18</f>
        <v>24717432</v>
      </c>
      <c r="AH60" s="120">
        <f t="shared" si="8"/>
        <v>31359219</v>
      </c>
      <c r="AI60" s="8">
        <f t="shared" si="9"/>
        <v>39616815</v>
      </c>
    </row>
    <row r="61" spans="1:36" x14ac:dyDescent="0.25">
      <c r="A61" s="11" t="s">
        <v>226</v>
      </c>
      <c r="B61" s="5" t="s">
        <v>82</v>
      </c>
      <c r="C61" s="20" t="s">
        <v>87</v>
      </c>
      <c r="D61" s="92">
        <f>'8.ESZI kiad'!D16</f>
        <v>120947105</v>
      </c>
      <c r="E61" s="92">
        <f>'8.ESZI kiad'!E16</f>
        <v>136842385</v>
      </c>
      <c r="F61" s="92">
        <f>'8.ESZI kiad'!F16</f>
        <v>16218934</v>
      </c>
      <c r="G61" s="92">
        <f>'8.ESZI kiad'!G16</f>
        <v>17275978</v>
      </c>
      <c r="H61" s="92">
        <f>'8.ESZI kiad'!H16</f>
        <v>87881114</v>
      </c>
      <c r="I61" s="92">
        <f>'8.ESZI kiad'!I16</f>
        <v>107976188</v>
      </c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>
        <f>'8.ESZI kiad'!N16</f>
        <v>3810002</v>
      </c>
      <c r="U61" s="92">
        <f>'8.ESZI kiad'!O16</f>
        <v>3584159</v>
      </c>
      <c r="V61" s="92">
        <f>'8.ESZI kiad'!P7+'8.ESZI kiad'!P8</f>
        <v>7300000</v>
      </c>
      <c r="W61" s="92">
        <f>'8.ESZI kiad'!Q16</f>
        <v>0</v>
      </c>
      <c r="X61" s="92"/>
      <c r="Y61" s="92"/>
      <c r="Z61" s="92"/>
      <c r="AA61" s="92"/>
      <c r="AB61" s="92"/>
      <c r="AC61" s="92"/>
      <c r="AD61" s="92">
        <f t="shared" si="11"/>
        <v>236157155</v>
      </c>
      <c r="AE61" s="92">
        <f t="shared" si="12"/>
        <v>265678710</v>
      </c>
      <c r="AF61" s="121"/>
      <c r="AG61" s="121">
        <f>'4 ESZI bev'!Q19</f>
        <v>190148496</v>
      </c>
      <c r="AH61" s="120">
        <f t="shared" si="8"/>
        <v>236157155</v>
      </c>
      <c r="AI61" s="8">
        <f t="shared" si="9"/>
        <v>265678710</v>
      </c>
    </row>
    <row r="62" spans="1:36" s="19" customFormat="1" ht="15.75" x14ac:dyDescent="0.25">
      <c r="A62" s="11" t="s">
        <v>227</v>
      </c>
      <c r="B62" s="17"/>
      <c r="C62" s="13" t="s">
        <v>88</v>
      </c>
      <c r="D62" s="94">
        <f t="shared" ref="D62:AF62" si="14">D42+D53+D56+D59</f>
        <v>430834713</v>
      </c>
      <c r="E62" s="94">
        <f t="shared" si="14"/>
        <v>505482006</v>
      </c>
      <c r="F62" s="94">
        <f t="shared" si="14"/>
        <v>56758396</v>
      </c>
      <c r="G62" s="94">
        <f t="shared" si="14"/>
        <v>62925854</v>
      </c>
      <c r="H62" s="94">
        <f t="shared" si="14"/>
        <v>283781140</v>
      </c>
      <c r="I62" s="94">
        <f t="shared" si="14"/>
        <v>357078269</v>
      </c>
      <c r="J62" s="94">
        <f t="shared" si="14"/>
        <v>29231066</v>
      </c>
      <c r="K62" s="94">
        <f t="shared" si="14"/>
        <v>33325377</v>
      </c>
      <c r="L62" s="94">
        <f t="shared" si="14"/>
        <v>28125240</v>
      </c>
      <c r="M62" s="94">
        <f t="shared" si="14"/>
        <v>28511877</v>
      </c>
      <c r="N62" s="94">
        <f t="shared" si="14"/>
        <v>12389170</v>
      </c>
      <c r="O62" s="94">
        <f t="shared" si="14"/>
        <v>22311871</v>
      </c>
      <c r="P62" s="94">
        <f t="shared" si="14"/>
        <v>5000000</v>
      </c>
      <c r="Q62" s="94">
        <f t="shared" si="14"/>
        <v>5000000</v>
      </c>
      <c r="R62" s="94">
        <f t="shared" si="14"/>
        <v>0</v>
      </c>
      <c r="S62" s="94">
        <f t="shared" si="14"/>
        <v>0</v>
      </c>
      <c r="T62" s="94">
        <f t="shared" si="14"/>
        <v>222480465</v>
      </c>
      <c r="U62" s="94">
        <f t="shared" si="14"/>
        <v>835927623</v>
      </c>
      <c r="V62" s="94">
        <f t="shared" si="14"/>
        <v>85862019</v>
      </c>
      <c r="W62" s="94">
        <f t="shared" si="14"/>
        <v>208395985</v>
      </c>
      <c r="X62" s="94">
        <f t="shared" si="14"/>
        <v>142901586</v>
      </c>
      <c r="Y62" s="94">
        <f t="shared" si="14"/>
        <v>96300175</v>
      </c>
      <c r="Z62" s="94">
        <f t="shared" si="14"/>
        <v>21732794</v>
      </c>
      <c r="AA62" s="94">
        <f t="shared" si="14"/>
        <v>24319431</v>
      </c>
      <c r="AB62" s="94">
        <f t="shared" si="14"/>
        <v>0</v>
      </c>
      <c r="AC62" s="94">
        <f t="shared" si="14"/>
        <v>0</v>
      </c>
      <c r="AD62" s="94">
        <f t="shared" si="14"/>
        <v>1319096589</v>
      </c>
      <c r="AE62" s="94">
        <f t="shared" si="14"/>
        <v>2179578468</v>
      </c>
      <c r="AF62" s="94">
        <f t="shared" ca="1" si="14"/>
        <v>486765868</v>
      </c>
      <c r="AG62" s="94">
        <f ca="1">AG53+AG56+AG59</f>
        <v>526934431</v>
      </c>
      <c r="AH62" s="94">
        <f ca="1">AH42+AH53+AH56+AH59</f>
        <v>1805862457</v>
      </c>
      <c r="AI62" s="94">
        <f>AI42+AI53+AI56+AI59</f>
        <v>2706512899</v>
      </c>
      <c r="AJ62" s="658"/>
    </row>
    <row r="63" spans="1:36" s="19" customFormat="1" ht="15.75" x14ac:dyDescent="0.25">
      <c r="A63" s="11" t="s">
        <v>228</v>
      </c>
      <c r="B63" s="17"/>
      <c r="C63" s="13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8"/>
      <c r="AG63" s="8"/>
      <c r="AH63" s="8"/>
      <c r="AI63" s="36"/>
      <c r="AJ63" s="33"/>
    </row>
    <row r="64" spans="1:36" x14ac:dyDescent="0.25">
      <c r="A64" s="11" t="s">
        <v>229</v>
      </c>
      <c r="B64" s="16"/>
      <c r="C64" s="16" t="s">
        <v>89</v>
      </c>
      <c r="D64" s="67">
        <f>D51+D55+D57+D60</f>
        <v>297557977</v>
      </c>
      <c r="E64" s="67">
        <f t="shared" ref="E64:AI64" si="15">E51+E55+E57+E60</f>
        <v>356129990</v>
      </c>
      <c r="F64" s="67">
        <f t="shared" si="15"/>
        <v>38912908</v>
      </c>
      <c r="G64" s="67">
        <f t="shared" si="15"/>
        <v>44023322</v>
      </c>
      <c r="H64" s="67">
        <f t="shared" si="15"/>
        <v>177669363</v>
      </c>
      <c r="I64" s="67">
        <f t="shared" si="15"/>
        <v>230507188</v>
      </c>
      <c r="J64" s="67">
        <f t="shared" si="15"/>
        <v>29231066</v>
      </c>
      <c r="K64" s="67">
        <f t="shared" si="15"/>
        <v>33325377</v>
      </c>
      <c r="L64" s="67">
        <f t="shared" si="15"/>
        <v>24825240</v>
      </c>
      <c r="M64" s="67">
        <f t="shared" si="15"/>
        <v>25211877</v>
      </c>
      <c r="N64" s="67">
        <f t="shared" si="15"/>
        <v>12389170</v>
      </c>
      <c r="O64" s="67">
        <f t="shared" si="15"/>
        <v>22311871</v>
      </c>
      <c r="P64" s="67">
        <f t="shared" si="15"/>
        <v>5000000</v>
      </c>
      <c r="Q64" s="67">
        <f t="shared" si="15"/>
        <v>5000000</v>
      </c>
      <c r="R64" s="67">
        <f t="shared" si="15"/>
        <v>0</v>
      </c>
      <c r="S64" s="67">
        <f t="shared" si="15"/>
        <v>0</v>
      </c>
      <c r="T64" s="67">
        <f t="shared" si="15"/>
        <v>158632668</v>
      </c>
      <c r="U64" s="67">
        <f>U51+U55+U57+U60</f>
        <v>799275560</v>
      </c>
      <c r="V64" s="67">
        <f t="shared" si="15"/>
        <v>42358968</v>
      </c>
      <c r="W64" s="67">
        <f t="shared" si="15"/>
        <v>184642126</v>
      </c>
      <c r="X64" s="67">
        <f t="shared" si="15"/>
        <v>142901586</v>
      </c>
      <c r="Y64" s="67">
        <f t="shared" si="15"/>
        <v>96300175</v>
      </c>
      <c r="Z64" s="67">
        <f t="shared" si="15"/>
        <v>21732794</v>
      </c>
      <c r="AA64" s="67">
        <f t="shared" si="15"/>
        <v>24319431</v>
      </c>
      <c r="AB64" s="67">
        <f t="shared" si="15"/>
        <v>0</v>
      </c>
      <c r="AC64" s="67">
        <f t="shared" si="15"/>
        <v>0</v>
      </c>
      <c r="AD64" s="67">
        <f t="shared" si="15"/>
        <v>951211740</v>
      </c>
      <c r="AE64" s="67">
        <f t="shared" si="15"/>
        <v>1821046917</v>
      </c>
      <c r="AF64" s="67">
        <f t="shared" ca="1" si="15"/>
        <v>486765868</v>
      </c>
      <c r="AG64" s="67">
        <f ca="1">AG55+AG57+AG60</f>
        <v>322829750</v>
      </c>
      <c r="AH64" s="67">
        <f t="shared" ca="1" si="15"/>
        <v>1437977608</v>
      </c>
      <c r="AI64" s="67">
        <f t="shared" si="15"/>
        <v>2347981348</v>
      </c>
      <c r="AJ64" s="21"/>
    </row>
    <row r="65" spans="1:36" x14ac:dyDescent="0.25">
      <c r="A65" s="11" t="s">
        <v>230</v>
      </c>
      <c r="B65" s="16"/>
      <c r="C65" s="16" t="s">
        <v>117</v>
      </c>
      <c r="D65" s="67">
        <f>D54</f>
        <v>12329631</v>
      </c>
      <c r="E65" s="67">
        <f t="shared" ref="E65:AI65" si="16">E54</f>
        <v>12329631</v>
      </c>
      <c r="F65" s="67">
        <f t="shared" si="16"/>
        <v>1626554</v>
      </c>
      <c r="G65" s="67">
        <f t="shared" si="16"/>
        <v>1626554</v>
      </c>
      <c r="H65" s="67">
        <f t="shared" si="16"/>
        <v>937561</v>
      </c>
      <c r="I65" s="67">
        <f t="shared" si="16"/>
        <v>937561</v>
      </c>
      <c r="J65" s="67">
        <f t="shared" si="16"/>
        <v>0</v>
      </c>
      <c r="K65" s="67">
        <f t="shared" si="16"/>
        <v>0</v>
      </c>
      <c r="L65" s="67">
        <f t="shared" si="16"/>
        <v>0</v>
      </c>
      <c r="M65" s="67">
        <f t="shared" si="16"/>
        <v>0</v>
      </c>
      <c r="N65" s="67">
        <f t="shared" si="16"/>
        <v>0</v>
      </c>
      <c r="O65" s="67">
        <f t="shared" si="16"/>
        <v>0</v>
      </c>
      <c r="P65" s="67">
        <f t="shared" si="16"/>
        <v>0</v>
      </c>
      <c r="Q65" s="67">
        <f t="shared" si="16"/>
        <v>0</v>
      </c>
      <c r="R65" s="67">
        <f t="shared" si="16"/>
        <v>0</v>
      </c>
      <c r="S65" s="67">
        <f t="shared" si="16"/>
        <v>0</v>
      </c>
      <c r="T65" s="67">
        <f t="shared" si="16"/>
        <v>0</v>
      </c>
      <c r="U65" s="67">
        <f t="shared" si="16"/>
        <v>0</v>
      </c>
      <c r="V65" s="67">
        <f t="shared" si="16"/>
        <v>0</v>
      </c>
      <c r="W65" s="67">
        <f t="shared" si="16"/>
        <v>0</v>
      </c>
      <c r="X65" s="67">
        <f t="shared" si="16"/>
        <v>0</v>
      </c>
      <c r="Y65" s="67">
        <f t="shared" si="16"/>
        <v>0</v>
      </c>
      <c r="Z65" s="67">
        <f t="shared" si="16"/>
        <v>0</v>
      </c>
      <c r="AA65" s="67">
        <f t="shared" si="16"/>
        <v>0</v>
      </c>
      <c r="AB65" s="67">
        <f t="shared" si="16"/>
        <v>0</v>
      </c>
      <c r="AC65" s="67">
        <f t="shared" si="16"/>
        <v>0</v>
      </c>
      <c r="AD65" s="67">
        <f t="shared" si="16"/>
        <v>14893746</v>
      </c>
      <c r="AE65" s="67">
        <f t="shared" si="16"/>
        <v>14893746</v>
      </c>
      <c r="AF65" s="67">
        <f t="shared" si="16"/>
        <v>0</v>
      </c>
      <c r="AG65" s="67">
        <f>AG54</f>
        <v>13956185</v>
      </c>
      <c r="AH65" s="67">
        <f t="shared" si="16"/>
        <v>14893746</v>
      </c>
      <c r="AI65" s="67">
        <f t="shared" si="16"/>
        <v>14893746</v>
      </c>
      <c r="AJ65" s="21"/>
    </row>
    <row r="66" spans="1:36" x14ac:dyDescent="0.25">
      <c r="A66" s="11" t="s">
        <v>231</v>
      </c>
      <c r="B66" s="16"/>
      <c r="C66" s="16" t="s">
        <v>90</v>
      </c>
      <c r="D66" s="67">
        <f>D52+D58+D61</f>
        <v>120947105</v>
      </c>
      <c r="E66" s="67">
        <f t="shared" ref="E66:AI66" si="17">E52+E58+E61</f>
        <v>137022385</v>
      </c>
      <c r="F66" s="67">
        <f t="shared" si="17"/>
        <v>16218934</v>
      </c>
      <c r="G66" s="67">
        <f t="shared" si="17"/>
        <v>17275978</v>
      </c>
      <c r="H66" s="67">
        <f t="shared" si="17"/>
        <v>105174216</v>
      </c>
      <c r="I66" s="67">
        <f t="shared" si="17"/>
        <v>125633520</v>
      </c>
      <c r="J66" s="67">
        <f t="shared" si="17"/>
        <v>0</v>
      </c>
      <c r="K66" s="67">
        <f t="shared" si="17"/>
        <v>0</v>
      </c>
      <c r="L66" s="67">
        <f t="shared" si="17"/>
        <v>3300000</v>
      </c>
      <c r="M66" s="67">
        <f t="shared" si="17"/>
        <v>3300000</v>
      </c>
      <c r="N66" s="67">
        <f t="shared" si="17"/>
        <v>0</v>
      </c>
      <c r="O66" s="67">
        <f t="shared" si="17"/>
        <v>0</v>
      </c>
      <c r="P66" s="67">
        <f t="shared" si="17"/>
        <v>0</v>
      </c>
      <c r="Q66" s="67">
        <f t="shared" si="17"/>
        <v>0</v>
      </c>
      <c r="R66" s="67">
        <f t="shared" si="17"/>
        <v>0</v>
      </c>
      <c r="S66" s="67">
        <f t="shared" si="17"/>
        <v>0</v>
      </c>
      <c r="T66" s="67">
        <f t="shared" si="17"/>
        <v>63847797</v>
      </c>
      <c r="U66" s="67">
        <f t="shared" si="17"/>
        <v>36652063</v>
      </c>
      <c r="V66" s="67">
        <f t="shared" si="17"/>
        <v>43503051</v>
      </c>
      <c r="W66" s="67">
        <f t="shared" si="17"/>
        <v>23753859</v>
      </c>
      <c r="X66" s="67">
        <f t="shared" si="17"/>
        <v>0</v>
      </c>
      <c r="Y66" s="67">
        <f t="shared" si="17"/>
        <v>0</v>
      </c>
      <c r="Z66" s="67">
        <f t="shared" si="17"/>
        <v>0</v>
      </c>
      <c r="AA66" s="67">
        <f t="shared" si="17"/>
        <v>0</v>
      </c>
      <c r="AB66" s="67">
        <f t="shared" si="17"/>
        <v>0</v>
      </c>
      <c r="AC66" s="67">
        <f t="shared" si="17"/>
        <v>0</v>
      </c>
      <c r="AD66" s="67">
        <f>AD52+AD58+AD61</f>
        <v>352991103</v>
      </c>
      <c r="AE66" s="67">
        <f t="shared" si="17"/>
        <v>343637805</v>
      </c>
      <c r="AF66" s="67">
        <f t="shared" si="17"/>
        <v>0</v>
      </c>
      <c r="AG66" s="67">
        <f>AG61</f>
        <v>190148496</v>
      </c>
      <c r="AH66" s="67">
        <f t="shared" si="17"/>
        <v>352991103</v>
      </c>
      <c r="AI66" s="67">
        <f t="shared" si="17"/>
        <v>343637805</v>
      </c>
      <c r="AJ66" s="21"/>
    </row>
    <row r="67" spans="1:36" s="19" customFormat="1" x14ac:dyDescent="0.25">
      <c r="A67" s="11" t="s">
        <v>232</v>
      </c>
      <c r="B67" s="22"/>
      <c r="C67" s="22" t="s">
        <v>91</v>
      </c>
      <c r="D67" s="39">
        <f>SUM(D64:D66)</f>
        <v>430834713</v>
      </c>
      <c r="E67" s="39">
        <f>SUM(E64:E66)</f>
        <v>505482006</v>
      </c>
      <c r="F67" s="39">
        <f t="shared" ref="F67:AF67" si="18">SUM(F64:F66)</f>
        <v>56758396</v>
      </c>
      <c r="G67" s="39">
        <f t="shared" ref="G67" si="19">SUM(G64:G66)</f>
        <v>62925854</v>
      </c>
      <c r="H67" s="39">
        <f t="shared" si="18"/>
        <v>283781140</v>
      </c>
      <c r="I67" s="39">
        <f t="shared" ref="I67" si="20">SUM(I64:I66)</f>
        <v>357078269</v>
      </c>
      <c r="J67" s="39">
        <f t="shared" si="18"/>
        <v>29231066</v>
      </c>
      <c r="K67" s="39">
        <f t="shared" ref="K67" si="21">SUM(K64:K66)</f>
        <v>33325377</v>
      </c>
      <c r="L67" s="39">
        <f t="shared" si="18"/>
        <v>28125240</v>
      </c>
      <c r="M67" s="39">
        <f t="shared" ref="M67" si="22">SUM(M64:M66)</f>
        <v>28511877</v>
      </c>
      <c r="N67" s="39">
        <f t="shared" si="18"/>
        <v>12389170</v>
      </c>
      <c r="O67" s="39">
        <f t="shared" ref="O67" si="23">SUM(O64:O66)</f>
        <v>22311871</v>
      </c>
      <c r="P67" s="39">
        <f t="shared" si="18"/>
        <v>5000000</v>
      </c>
      <c r="Q67" s="39">
        <f t="shared" ref="Q67" si="24">SUM(Q64:Q66)</f>
        <v>5000000</v>
      </c>
      <c r="R67" s="39">
        <f t="shared" si="18"/>
        <v>0</v>
      </c>
      <c r="S67" s="39">
        <f t="shared" ref="S67" si="25">SUM(S64:S66)</f>
        <v>0</v>
      </c>
      <c r="T67" s="39">
        <f>SUM(T64:T66)</f>
        <v>222480465</v>
      </c>
      <c r="U67" s="39">
        <f>SUM(U64:U66)</f>
        <v>835927623</v>
      </c>
      <c r="V67" s="39">
        <f t="shared" si="18"/>
        <v>85862019</v>
      </c>
      <c r="W67" s="39">
        <f t="shared" ref="W67" si="26">SUM(W64:W66)</f>
        <v>208395985</v>
      </c>
      <c r="X67" s="39">
        <f t="shared" si="18"/>
        <v>142901586</v>
      </c>
      <c r="Y67" s="655">
        <f t="shared" ref="Y67" si="27">SUM(Y64:Y66)</f>
        <v>96300175</v>
      </c>
      <c r="Z67" s="39">
        <f t="shared" si="18"/>
        <v>21732794</v>
      </c>
      <c r="AA67" s="39">
        <f>SUM(AA64:AA66)</f>
        <v>24319431</v>
      </c>
      <c r="AB67" s="39">
        <f t="shared" ref="AB67:AC67" si="28">SUM(AB64:AB66)</f>
        <v>0</v>
      </c>
      <c r="AC67" s="39">
        <f t="shared" si="28"/>
        <v>0</v>
      </c>
      <c r="AD67" s="39">
        <f>SUM(AD64:AD66)</f>
        <v>1319096589</v>
      </c>
      <c r="AE67" s="39">
        <f>SUM(AE64:AE66)</f>
        <v>2179578468</v>
      </c>
      <c r="AF67" s="39">
        <f t="shared" ca="1" si="18"/>
        <v>486765868</v>
      </c>
      <c r="AG67" s="39">
        <f ca="1">SUM(AG64:AG66)</f>
        <v>526934431</v>
      </c>
      <c r="AH67" s="39"/>
      <c r="AI67" s="37"/>
      <c r="AJ67" s="658"/>
    </row>
    <row r="68" spans="1:36" x14ac:dyDescent="0.25">
      <c r="AD68" s="130"/>
      <c r="AF68" s="23"/>
      <c r="AG68" s="23"/>
      <c r="AH68" s="23"/>
      <c r="AI68" s="23"/>
    </row>
    <row r="69" spans="1:36" x14ac:dyDescent="0.25">
      <c r="H69" s="148"/>
      <c r="L69" s="23"/>
      <c r="T69" s="23"/>
      <c r="AA69" s="23"/>
      <c r="AB69" s="23"/>
      <c r="AC69" s="23"/>
      <c r="AD69" s="23"/>
      <c r="AE69" s="23"/>
      <c r="AG69" s="23"/>
      <c r="AH69" s="23"/>
      <c r="AI69" s="23"/>
    </row>
    <row r="70" spans="1:36" x14ac:dyDescent="0.25">
      <c r="L70" s="23"/>
      <c r="AD70" s="23"/>
      <c r="AE70" s="23"/>
      <c r="AG70" s="23"/>
      <c r="AH70" s="23"/>
      <c r="AI70" s="23"/>
    </row>
    <row r="71" spans="1:36" x14ac:dyDescent="0.25">
      <c r="L71" s="23"/>
      <c r="Z71" s="54"/>
      <c r="AA71" s="54"/>
      <c r="AB71" s="54"/>
      <c r="AC71" s="54"/>
      <c r="AD71" s="54"/>
      <c r="AG71" s="23"/>
      <c r="AH71" s="23"/>
    </row>
    <row r="72" spans="1:36" x14ac:dyDescent="0.25">
      <c r="Z72" s="54"/>
      <c r="AA72" s="54"/>
      <c r="AB72" s="54"/>
      <c r="AC72" s="54"/>
      <c r="AD72" s="54"/>
      <c r="AG72" s="23"/>
    </row>
    <row r="73" spans="1:36" x14ac:dyDescent="0.25">
      <c r="T73" s="19"/>
      <c r="U73" s="19"/>
      <c r="Z73" s="54"/>
      <c r="AA73" s="54"/>
      <c r="AB73" s="54"/>
      <c r="AC73" s="54"/>
      <c r="AD73" s="55"/>
    </row>
  </sheetData>
  <mergeCells count="33">
    <mergeCell ref="X1:AH1"/>
    <mergeCell ref="C3:AI3"/>
    <mergeCell ref="B2:J2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4:Y4"/>
    <mergeCell ref="Z5:AA5"/>
    <mergeCell ref="AD4:AE4"/>
    <mergeCell ref="AF5:AG5"/>
    <mergeCell ref="AF4:AG4"/>
    <mergeCell ref="AB5:AC5"/>
    <mergeCell ref="X5:Y5"/>
    <mergeCell ref="AB4:AC4"/>
    <mergeCell ref="AD5:AE5"/>
    <mergeCell ref="Z4:AA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38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42" fitToHeight="2" orientation="landscape" r:id="rId1"/>
  <ignoredErrors>
    <ignoredError sqref="AH42" formula="1"/>
    <ignoredError sqref="R56:S56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Z28"/>
  <sheetViews>
    <sheetView zoomScaleNormal="100" zoomScaleSheetLayoutView="100" workbookViewId="0">
      <selection activeCell="J9" sqref="J9"/>
    </sheetView>
  </sheetViews>
  <sheetFormatPr defaultColWidth="9.28515625" defaultRowHeight="15" x14ac:dyDescent="0.25"/>
  <cols>
    <col min="1" max="1" width="5.28515625" style="45" customWidth="1"/>
    <col min="2" max="2" width="11.28515625" style="63" bestFit="1" customWidth="1"/>
    <col min="3" max="3" width="35.85546875" style="45" customWidth="1"/>
    <col min="4" max="4" width="12.28515625" style="45" customWidth="1"/>
    <col min="5" max="5" width="12.42578125" style="45" bestFit="1" customWidth="1"/>
    <col min="6" max="7" width="11.28515625" style="45" bestFit="1" customWidth="1"/>
    <col min="8" max="8" width="10.5703125" style="45" bestFit="1" customWidth="1"/>
    <col min="9" max="9" width="10.140625" style="45" bestFit="1" customWidth="1"/>
    <col min="10" max="10" width="8.7109375" style="45" customWidth="1"/>
    <col min="11" max="11" width="7.85546875" style="45" bestFit="1" customWidth="1"/>
    <col min="12" max="12" width="8.28515625" style="45" customWidth="1"/>
    <col min="13" max="13" width="7.85546875" style="45" bestFit="1" customWidth="1"/>
    <col min="14" max="14" width="8.42578125" style="45" customWidth="1"/>
    <col min="15" max="15" width="8.42578125" style="45" bestFit="1" customWidth="1"/>
    <col min="16" max="16" width="8.42578125" style="45" customWidth="1"/>
    <col min="17" max="17" width="8.140625" style="45" bestFit="1" customWidth="1"/>
    <col min="18" max="18" width="9.28515625" style="45" customWidth="1"/>
    <col min="19" max="19" width="8" style="45" bestFit="1" customWidth="1"/>
    <col min="20" max="20" width="8.28515625" style="45" customWidth="1"/>
    <col min="21" max="21" width="8.140625" style="45" bestFit="1" customWidth="1"/>
    <col min="22" max="22" width="12.42578125" style="45" bestFit="1" customWidth="1"/>
    <col min="23" max="23" width="13.42578125" style="45" customWidth="1"/>
    <col min="24" max="16384" width="9.28515625" style="45"/>
  </cols>
  <sheetData>
    <row r="1" spans="1:26" ht="23.25" customHeight="1" x14ac:dyDescent="0.25">
      <c r="C1" s="619"/>
      <c r="M1" s="619"/>
      <c r="N1" s="619"/>
      <c r="O1" s="764" t="s">
        <v>559</v>
      </c>
      <c r="P1" s="764"/>
      <c r="Q1" s="764"/>
      <c r="R1" s="764"/>
      <c r="S1" s="764"/>
      <c r="T1" s="764"/>
      <c r="U1" s="764"/>
      <c r="V1" s="764"/>
    </row>
    <row r="2" spans="1:26" x14ac:dyDescent="0.25">
      <c r="V2" s="635"/>
    </row>
    <row r="3" spans="1:26" ht="48" customHeight="1" x14ac:dyDescent="0.25">
      <c r="A3" s="632"/>
      <c r="B3" s="633"/>
      <c r="C3" s="765" t="s">
        <v>509</v>
      </c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634"/>
      <c r="Y3" s="630"/>
      <c r="Z3" s="630"/>
    </row>
    <row r="4" spans="1:26" ht="48" customHeight="1" x14ac:dyDescent="0.25">
      <c r="A4" s="631" t="s">
        <v>57</v>
      </c>
      <c r="B4" s="631" t="s">
        <v>65</v>
      </c>
      <c r="C4" s="631" t="s">
        <v>58</v>
      </c>
      <c r="D4" s="762" t="s">
        <v>59</v>
      </c>
      <c r="E4" s="763"/>
      <c r="F4" s="762" t="s">
        <v>60</v>
      </c>
      <c r="G4" s="763"/>
      <c r="H4" s="762" t="s">
        <v>67</v>
      </c>
      <c r="I4" s="763"/>
      <c r="J4" s="762" t="s">
        <v>69</v>
      </c>
      <c r="K4" s="763"/>
      <c r="L4" s="762" t="s">
        <v>70</v>
      </c>
      <c r="M4" s="763"/>
      <c r="N4" s="762" t="s">
        <v>71</v>
      </c>
      <c r="O4" s="763"/>
      <c r="P4" s="762" t="s">
        <v>72</v>
      </c>
      <c r="Q4" s="763"/>
      <c r="R4" s="762" t="s">
        <v>104</v>
      </c>
      <c r="S4" s="763"/>
      <c r="T4" s="762" t="s">
        <v>98</v>
      </c>
      <c r="U4" s="763"/>
      <c r="V4" s="761" t="s">
        <v>186</v>
      </c>
      <c r="W4" s="761"/>
      <c r="X4" s="630"/>
      <c r="Y4" s="630"/>
      <c r="Z4" s="630"/>
    </row>
    <row r="5" spans="1:26" ht="57.75" customHeight="1" x14ac:dyDescent="0.25">
      <c r="A5" s="110" t="s">
        <v>191</v>
      </c>
      <c r="B5" s="110" t="s">
        <v>113</v>
      </c>
      <c r="C5" s="64" t="s">
        <v>74</v>
      </c>
      <c r="D5" s="767" t="s">
        <v>40</v>
      </c>
      <c r="E5" s="768"/>
      <c r="F5" s="767" t="s">
        <v>105</v>
      </c>
      <c r="G5" s="768"/>
      <c r="H5" s="767" t="s">
        <v>41</v>
      </c>
      <c r="I5" s="768"/>
      <c r="J5" s="767" t="s">
        <v>106</v>
      </c>
      <c r="K5" s="768"/>
      <c r="L5" s="767" t="s">
        <v>43</v>
      </c>
      <c r="M5" s="768"/>
      <c r="N5" s="767" t="s">
        <v>46</v>
      </c>
      <c r="O5" s="768"/>
      <c r="P5" s="767" t="s">
        <v>47</v>
      </c>
      <c r="Q5" s="768"/>
      <c r="R5" s="767" t="s">
        <v>109</v>
      </c>
      <c r="S5" s="768"/>
      <c r="T5" s="767" t="s">
        <v>110</v>
      </c>
      <c r="U5" s="768"/>
      <c r="V5" s="769" t="s">
        <v>88</v>
      </c>
      <c r="W5" s="769"/>
      <c r="X5" s="630"/>
      <c r="Y5" s="630"/>
      <c r="Z5" s="630"/>
    </row>
    <row r="6" spans="1:26" ht="57" x14ac:dyDescent="0.25">
      <c r="A6" s="46"/>
      <c r="B6" s="60"/>
      <c r="C6" s="64" t="s">
        <v>94</v>
      </c>
      <c r="D6" s="50" t="s">
        <v>480</v>
      </c>
      <c r="E6" s="14" t="s">
        <v>481</v>
      </c>
      <c r="F6" s="668" t="s">
        <v>480</v>
      </c>
      <c r="G6" s="14" t="s">
        <v>481</v>
      </c>
      <c r="H6" s="668" t="s">
        <v>480</v>
      </c>
      <c r="I6" s="14" t="s">
        <v>481</v>
      </c>
      <c r="J6" s="668" t="s">
        <v>480</v>
      </c>
      <c r="K6" s="14" t="s">
        <v>481</v>
      </c>
      <c r="L6" s="668" t="s">
        <v>480</v>
      </c>
      <c r="M6" s="14" t="s">
        <v>481</v>
      </c>
      <c r="N6" s="668" t="s">
        <v>480</v>
      </c>
      <c r="O6" s="14" t="s">
        <v>481</v>
      </c>
      <c r="P6" s="668" t="s">
        <v>480</v>
      </c>
      <c r="Q6" s="14" t="s">
        <v>481</v>
      </c>
      <c r="R6" s="668" t="s">
        <v>480</v>
      </c>
      <c r="S6" s="14" t="s">
        <v>481</v>
      </c>
      <c r="T6" s="668" t="s">
        <v>480</v>
      </c>
      <c r="U6" s="14" t="s">
        <v>481</v>
      </c>
      <c r="V6" s="668" t="s">
        <v>480</v>
      </c>
      <c r="W6" s="14" t="s">
        <v>481</v>
      </c>
      <c r="X6" s="630"/>
      <c r="Y6" s="630"/>
      <c r="Z6" s="630"/>
    </row>
    <row r="7" spans="1:26" x14ac:dyDescent="0.25">
      <c r="A7" s="46" t="s">
        <v>1</v>
      </c>
      <c r="B7" s="46" t="s">
        <v>81</v>
      </c>
      <c r="C7" s="65" t="s">
        <v>591</v>
      </c>
      <c r="D7" s="86">
        <v>87043670</v>
      </c>
      <c r="E7" s="86">
        <f>D7+131997</f>
        <v>87175667</v>
      </c>
      <c r="F7" s="86">
        <v>12366313</v>
      </c>
      <c r="G7" s="86">
        <f>F7</f>
        <v>12366313</v>
      </c>
      <c r="H7" s="86">
        <v>6875449</v>
      </c>
      <c r="I7" s="86">
        <f>H7+333</f>
        <v>6875782</v>
      </c>
      <c r="J7" s="87"/>
      <c r="K7" s="87"/>
      <c r="L7" s="85"/>
      <c r="M7" s="85"/>
      <c r="N7" s="85">
        <v>444500</v>
      </c>
      <c r="O7" s="85">
        <f>N7</f>
        <v>444500</v>
      </c>
      <c r="P7" s="85"/>
      <c r="Q7" s="85"/>
      <c r="R7" s="85"/>
      <c r="S7" s="85"/>
      <c r="T7" s="87"/>
      <c r="U7" s="87"/>
      <c r="V7" s="98">
        <f>D7+F7+H7+J7+L7+N7+P7+R7+T7</f>
        <v>106729932</v>
      </c>
      <c r="W7" s="98">
        <f>E7+G7+I7+K7+M7+O7+Q7+S7+U7</f>
        <v>106862262</v>
      </c>
      <c r="X7" s="630"/>
      <c r="Y7" s="630"/>
      <c r="Z7" s="630"/>
    </row>
    <row r="8" spans="1:26" x14ac:dyDescent="0.25">
      <c r="A8" s="46" t="s">
        <v>3</v>
      </c>
      <c r="B8" s="46" t="s">
        <v>121</v>
      </c>
      <c r="C8" s="65" t="s">
        <v>592</v>
      </c>
      <c r="D8" s="86">
        <v>12329631</v>
      </c>
      <c r="E8" s="86">
        <f>D8</f>
        <v>12329631</v>
      </c>
      <c r="F8" s="86">
        <v>1626554</v>
      </c>
      <c r="G8" s="86">
        <f>F8</f>
        <v>1626554</v>
      </c>
      <c r="H8" s="86">
        <v>937561</v>
      </c>
      <c r="I8" s="86">
        <f>H8</f>
        <v>937561</v>
      </c>
      <c r="J8" s="87"/>
      <c r="K8" s="87"/>
      <c r="L8" s="85"/>
      <c r="M8" s="85"/>
      <c r="N8" s="85"/>
      <c r="O8" s="85"/>
      <c r="P8" s="85"/>
      <c r="Q8" s="85"/>
      <c r="R8" s="85"/>
      <c r="S8" s="85"/>
      <c r="T8" s="87"/>
      <c r="U8" s="87"/>
      <c r="V8" s="98">
        <f>D8+F8+H8+N8</f>
        <v>14893746</v>
      </c>
      <c r="W8" s="98">
        <f t="shared" ref="W8:W11" si="0">E8+G8+I8+K8+M8+O8+Q8+S8+U8</f>
        <v>14893746</v>
      </c>
      <c r="X8" s="630"/>
      <c r="Y8" s="630"/>
      <c r="Z8" s="630"/>
    </row>
    <row r="9" spans="1:26" x14ac:dyDescent="0.25">
      <c r="A9" s="46" t="s">
        <v>4</v>
      </c>
      <c r="B9" s="46"/>
      <c r="C9" s="65" t="s">
        <v>574</v>
      </c>
      <c r="D9" s="86"/>
      <c r="E9" s="86">
        <v>1886347</v>
      </c>
      <c r="F9" s="86"/>
      <c r="G9" s="86">
        <f>252230</f>
        <v>252230</v>
      </c>
      <c r="H9" s="86"/>
      <c r="I9" s="86">
        <v>157759</v>
      </c>
      <c r="J9" s="87"/>
      <c r="K9" s="87"/>
      <c r="L9" s="85"/>
      <c r="M9" s="85"/>
      <c r="N9" s="85"/>
      <c r="O9" s="85"/>
      <c r="P9" s="85"/>
      <c r="Q9" s="85"/>
      <c r="R9" s="85"/>
      <c r="S9" s="85"/>
      <c r="T9" s="87"/>
      <c r="U9" s="87"/>
      <c r="V9" s="98"/>
      <c r="W9" s="98">
        <f t="shared" si="0"/>
        <v>2296336</v>
      </c>
      <c r="X9" s="630"/>
      <c r="Y9" s="630"/>
      <c r="Z9" s="630"/>
    </row>
    <row r="10" spans="1:26" ht="27.75" customHeight="1" x14ac:dyDescent="0.25">
      <c r="A10" s="46" t="s">
        <v>5</v>
      </c>
      <c r="B10" s="46" t="s">
        <v>81</v>
      </c>
      <c r="C10" s="643" t="s">
        <v>581</v>
      </c>
      <c r="D10" s="86"/>
      <c r="E10" s="86">
        <v>2113494</v>
      </c>
      <c r="F10" s="86"/>
      <c r="G10" s="86">
        <v>403141</v>
      </c>
      <c r="H10" s="86"/>
      <c r="I10" s="86">
        <v>200000</v>
      </c>
      <c r="J10" s="87"/>
      <c r="K10" s="87"/>
      <c r="L10" s="85"/>
      <c r="M10" s="85"/>
      <c r="N10" s="85"/>
      <c r="O10" s="85"/>
      <c r="P10" s="85"/>
      <c r="Q10" s="85"/>
      <c r="R10" s="85"/>
      <c r="S10" s="85"/>
      <c r="T10" s="87"/>
      <c r="U10" s="87"/>
      <c r="V10" s="98">
        <f t="shared" ref="V10" si="1">SUM(D10:U10)</f>
        <v>2716635</v>
      </c>
      <c r="W10" s="98">
        <f t="shared" si="0"/>
        <v>2716635</v>
      </c>
      <c r="X10" s="630"/>
      <c r="Y10" s="630"/>
      <c r="Z10" s="630"/>
    </row>
    <row r="11" spans="1:26" ht="15.75" x14ac:dyDescent="0.25">
      <c r="A11" s="46"/>
      <c r="B11" s="46"/>
      <c r="C11" s="64" t="s">
        <v>96</v>
      </c>
      <c r="D11" s="98">
        <f>SUM(D7:D10)</f>
        <v>99373301</v>
      </c>
      <c r="E11" s="98">
        <f>SUM(E7:E10)</f>
        <v>103505139</v>
      </c>
      <c r="F11" s="98">
        <f t="shared" ref="F11:V11" si="2">SUM(F7:F10)</f>
        <v>13992867</v>
      </c>
      <c r="G11" s="98">
        <f t="shared" si="2"/>
        <v>14648238</v>
      </c>
      <c r="H11" s="98">
        <f t="shared" si="2"/>
        <v>7813010</v>
      </c>
      <c r="I11" s="98">
        <f t="shared" si="2"/>
        <v>8171102</v>
      </c>
      <c r="J11" s="98">
        <f t="shared" si="2"/>
        <v>0</v>
      </c>
      <c r="K11" s="98">
        <f t="shared" si="2"/>
        <v>0</v>
      </c>
      <c r="L11" s="98">
        <f t="shared" si="2"/>
        <v>0</v>
      </c>
      <c r="M11" s="98">
        <f t="shared" si="2"/>
        <v>0</v>
      </c>
      <c r="N11" s="98">
        <f t="shared" si="2"/>
        <v>444500</v>
      </c>
      <c r="O11" s="98">
        <f t="shared" si="2"/>
        <v>444500</v>
      </c>
      <c r="P11" s="98">
        <f t="shared" si="2"/>
        <v>0</v>
      </c>
      <c r="Q11" s="98">
        <f t="shared" si="2"/>
        <v>0</v>
      </c>
      <c r="R11" s="98">
        <f t="shared" si="2"/>
        <v>0</v>
      </c>
      <c r="S11" s="98">
        <f t="shared" si="2"/>
        <v>0</v>
      </c>
      <c r="T11" s="98">
        <f t="shared" si="2"/>
        <v>0</v>
      </c>
      <c r="U11" s="98">
        <f t="shared" si="2"/>
        <v>0</v>
      </c>
      <c r="V11" s="98">
        <f t="shared" si="2"/>
        <v>124340313</v>
      </c>
      <c r="W11" s="98">
        <f t="shared" si="0"/>
        <v>126768979</v>
      </c>
      <c r="X11" s="630"/>
      <c r="Y11" s="630"/>
      <c r="Z11" s="630"/>
    </row>
    <row r="12" spans="1:26" x14ac:dyDescent="0.25">
      <c r="A12" s="46" t="s">
        <v>7</v>
      </c>
      <c r="B12" s="46"/>
      <c r="C12" s="53" t="s">
        <v>117</v>
      </c>
      <c r="D12" s="84">
        <f>D8</f>
        <v>12329631</v>
      </c>
      <c r="E12" s="84">
        <f>E8</f>
        <v>12329631</v>
      </c>
      <c r="F12" s="84">
        <f t="shared" ref="F12:W12" si="3">F8</f>
        <v>1626554</v>
      </c>
      <c r="G12" s="84">
        <f t="shared" si="3"/>
        <v>1626554</v>
      </c>
      <c r="H12" s="84">
        <f t="shared" si="3"/>
        <v>937561</v>
      </c>
      <c r="I12" s="84">
        <f t="shared" si="3"/>
        <v>937561</v>
      </c>
      <c r="J12" s="84">
        <f t="shared" si="3"/>
        <v>0</v>
      </c>
      <c r="K12" s="84">
        <f t="shared" si="3"/>
        <v>0</v>
      </c>
      <c r="L12" s="84">
        <f t="shared" si="3"/>
        <v>0</v>
      </c>
      <c r="M12" s="84">
        <f t="shared" si="3"/>
        <v>0</v>
      </c>
      <c r="N12" s="84">
        <f t="shared" si="3"/>
        <v>0</v>
      </c>
      <c r="O12" s="84">
        <f t="shared" si="3"/>
        <v>0</v>
      </c>
      <c r="P12" s="84">
        <f t="shared" si="3"/>
        <v>0</v>
      </c>
      <c r="Q12" s="84">
        <f t="shared" si="3"/>
        <v>0</v>
      </c>
      <c r="R12" s="84">
        <f t="shared" si="3"/>
        <v>0</v>
      </c>
      <c r="S12" s="84">
        <f t="shared" si="3"/>
        <v>0</v>
      </c>
      <c r="T12" s="84">
        <f t="shared" si="3"/>
        <v>0</v>
      </c>
      <c r="U12" s="84">
        <f t="shared" si="3"/>
        <v>0</v>
      </c>
      <c r="V12" s="84">
        <f t="shared" si="3"/>
        <v>14893746</v>
      </c>
      <c r="W12" s="84">
        <f t="shared" si="3"/>
        <v>14893746</v>
      </c>
      <c r="X12" s="630"/>
      <c r="Y12" s="630"/>
      <c r="Z12" s="630"/>
    </row>
    <row r="13" spans="1:26" x14ac:dyDescent="0.25">
      <c r="A13" s="46" t="s">
        <v>18</v>
      </c>
      <c r="B13" s="46"/>
      <c r="C13" s="53" t="s">
        <v>234</v>
      </c>
      <c r="D13" s="84">
        <f>D7+D9</f>
        <v>87043670</v>
      </c>
      <c r="E13" s="84">
        <f>E7+E9+E10</f>
        <v>91175508</v>
      </c>
      <c r="F13" s="84">
        <f t="shared" ref="F13:W13" si="4">F7+F9+F10</f>
        <v>12366313</v>
      </c>
      <c r="G13" s="84">
        <f t="shared" si="4"/>
        <v>13021684</v>
      </c>
      <c r="H13" s="84">
        <f t="shared" si="4"/>
        <v>6875449</v>
      </c>
      <c r="I13" s="84">
        <f t="shared" si="4"/>
        <v>7233541</v>
      </c>
      <c r="J13" s="84">
        <f t="shared" si="4"/>
        <v>0</v>
      </c>
      <c r="K13" s="84">
        <f t="shared" si="4"/>
        <v>0</v>
      </c>
      <c r="L13" s="84">
        <f t="shared" si="4"/>
        <v>0</v>
      </c>
      <c r="M13" s="84">
        <f t="shared" si="4"/>
        <v>0</v>
      </c>
      <c r="N13" s="84">
        <f t="shared" si="4"/>
        <v>444500</v>
      </c>
      <c r="O13" s="84">
        <f t="shared" si="4"/>
        <v>444500</v>
      </c>
      <c r="P13" s="84">
        <f t="shared" si="4"/>
        <v>0</v>
      </c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109446567</v>
      </c>
      <c r="W13" s="84">
        <f t="shared" si="4"/>
        <v>111875233</v>
      </c>
      <c r="X13" s="630"/>
      <c r="Y13" s="630"/>
      <c r="Z13" s="630"/>
    </row>
    <row r="14" spans="1:26" x14ac:dyDescent="0.25">
      <c r="X14" s="630"/>
      <c r="Y14" s="630"/>
      <c r="Z14" s="630"/>
    </row>
    <row r="15" spans="1:26" x14ac:dyDescent="0.25">
      <c r="W15" s="73"/>
      <c r="X15" s="630"/>
      <c r="Y15" s="630"/>
      <c r="Z15" s="630"/>
    </row>
    <row r="16" spans="1:26" x14ac:dyDescent="0.25">
      <c r="C16" s="630"/>
      <c r="D16" s="73"/>
      <c r="E16" s="73">
        <f>E7+E8</f>
        <v>99505298</v>
      </c>
      <c r="F16" s="663"/>
      <c r="G16" s="73">
        <f>G7+G8</f>
        <v>13992867</v>
      </c>
      <c r="I16" s="73">
        <f>I7+I8</f>
        <v>7813343</v>
      </c>
      <c r="U16" s="73"/>
      <c r="V16" s="73"/>
      <c r="X16" s="630"/>
      <c r="Y16" s="630"/>
      <c r="Z16" s="630"/>
    </row>
    <row r="17" spans="5:26" x14ac:dyDescent="0.25">
      <c r="E17" s="73">
        <f>99505298-E16</f>
        <v>0</v>
      </c>
      <c r="H17" s="73"/>
      <c r="I17" s="73">
        <f>7813343-I16</f>
        <v>0</v>
      </c>
      <c r="X17" s="630"/>
      <c r="Y17" s="630"/>
      <c r="Z17" s="630"/>
    </row>
    <row r="18" spans="5:26" x14ac:dyDescent="0.25">
      <c r="X18" s="630"/>
      <c r="Y18" s="630"/>
      <c r="Z18" s="630"/>
    </row>
    <row r="19" spans="5:26" x14ac:dyDescent="0.25">
      <c r="X19" s="630"/>
      <c r="Y19" s="630"/>
      <c r="Z19" s="630"/>
    </row>
    <row r="20" spans="5:26" x14ac:dyDescent="0.25">
      <c r="X20" s="630"/>
      <c r="Y20" s="630"/>
      <c r="Z20" s="630"/>
    </row>
    <row r="21" spans="5:26" x14ac:dyDescent="0.25">
      <c r="X21" s="630"/>
      <c r="Y21" s="630"/>
      <c r="Z21" s="630"/>
    </row>
    <row r="22" spans="5:26" x14ac:dyDescent="0.25">
      <c r="X22" s="630"/>
      <c r="Y22" s="630"/>
      <c r="Z22" s="630"/>
    </row>
    <row r="23" spans="5:26" x14ac:dyDescent="0.25">
      <c r="F23" s="73"/>
      <c r="X23" s="630"/>
      <c r="Y23" s="630"/>
      <c r="Z23" s="630"/>
    </row>
    <row r="24" spans="5:26" x14ac:dyDescent="0.25">
      <c r="F24" s="73"/>
      <c r="X24" s="630"/>
      <c r="Y24" s="630"/>
      <c r="Z24" s="630"/>
    </row>
    <row r="25" spans="5:26" x14ac:dyDescent="0.25">
      <c r="X25" s="630"/>
      <c r="Y25" s="630"/>
      <c r="Z25" s="630"/>
    </row>
    <row r="26" spans="5:26" x14ac:dyDescent="0.25">
      <c r="X26" s="630"/>
      <c r="Y26" s="630"/>
      <c r="Z26" s="630"/>
    </row>
    <row r="27" spans="5:26" x14ac:dyDescent="0.25">
      <c r="X27" s="630"/>
      <c r="Y27" s="630"/>
      <c r="Z27" s="630"/>
    </row>
    <row r="28" spans="5:26" x14ac:dyDescent="0.25">
      <c r="X28" s="630"/>
      <c r="Y28" s="630"/>
    </row>
  </sheetData>
  <mergeCells count="22">
    <mergeCell ref="O1:V1"/>
    <mergeCell ref="C3:V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D4:E4"/>
    <mergeCell ref="F4:G4"/>
    <mergeCell ref="H4:I4"/>
    <mergeCell ref="J4:K4"/>
    <mergeCell ref="V4:W4"/>
    <mergeCell ref="L4:M4"/>
    <mergeCell ref="N4:O4"/>
    <mergeCell ref="P4:Q4"/>
    <mergeCell ref="R4:S4"/>
    <mergeCell ref="T4:U4"/>
  </mergeCells>
  <phoneticPr fontId="3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Z22"/>
  <sheetViews>
    <sheetView topLeftCell="C1" zoomScaleNormal="100" zoomScaleSheetLayoutView="100" workbookViewId="0">
      <selection activeCell="I20" sqref="I20"/>
    </sheetView>
  </sheetViews>
  <sheetFormatPr defaultColWidth="9.28515625" defaultRowHeight="15" x14ac:dyDescent="0.25"/>
  <cols>
    <col min="1" max="1" width="5.5703125" style="9" customWidth="1"/>
    <col min="2" max="2" width="14" style="66" customWidth="1"/>
    <col min="3" max="3" width="35" style="9" bestFit="1" customWidth="1"/>
    <col min="4" max="9" width="12.28515625" style="9" customWidth="1"/>
    <col min="10" max="10" width="9.7109375" style="9" customWidth="1"/>
    <col min="11" max="11" width="8.7109375" style="9" customWidth="1"/>
    <col min="12" max="12" width="10.140625" style="9" customWidth="1"/>
    <col min="13" max="13" width="10.28515625" style="9" customWidth="1"/>
    <col min="14" max="14" width="9.85546875" style="9" customWidth="1"/>
    <col min="15" max="15" width="10.140625" style="9" bestFit="1" customWidth="1"/>
    <col min="16" max="16" width="10" style="9" customWidth="1"/>
    <col min="17" max="17" width="10.85546875" style="9" customWidth="1"/>
    <col min="18" max="18" width="9.85546875" style="9" customWidth="1"/>
    <col min="19" max="19" width="7.85546875" style="9" bestFit="1" customWidth="1"/>
    <col min="20" max="20" width="9.42578125" style="9" customWidth="1"/>
    <col min="21" max="21" width="7.85546875" style="9" bestFit="1" customWidth="1"/>
    <col min="22" max="22" width="12.28515625" style="9" customWidth="1"/>
    <col min="23" max="23" width="11.7109375" style="23" hidden="1" customWidth="1"/>
    <col min="24" max="24" width="12" style="9" hidden="1" customWidth="1"/>
    <col min="25" max="25" width="12.42578125" style="19" bestFit="1" customWidth="1"/>
    <col min="26" max="26" width="11.140625" style="9" bestFit="1" customWidth="1"/>
    <col min="27" max="16384" width="9.28515625" style="9"/>
  </cols>
  <sheetData>
    <row r="1" spans="1:25" x14ac:dyDescent="0.25"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</row>
    <row r="2" spans="1:25" x14ac:dyDescent="0.25">
      <c r="L2" s="771" t="s">
        <v>492</v>
      </c>
      <c r="M2" s="771"/>
      <c r="N2" s="771"/>
      <c r="O2" s="771"/>
      <c r="P2" s="771"/>
      <c r="Q2" s="771"/>
      <c r="R2" s="771"/>
      <c r="S2" s="771"/>
    </row>
    <row r="3" spans="1:25" ht="54" customHeight="1" x14ac:dyDescent="0.25">
      <c r="A3" s="116"/>
      <c r="B3" s="117"/>
      <c r="C3" s="772" t="s">
        <v>493</v>
      </c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/>
      <c r="T3" s="772"/>
      <c r="U3" s="772"/>
      <c r="V3" s="772"/>
      <c r="W3" s="772"/>
      <c r="X3" s="772"/>
      <c r="Y3" s="773"/>
    </row>
    <row r="4" spans="1:25" ht="54" customHeight="1" x14ac:dyDescent="0.25">
      <c r="A4" s="693" t="s">
        <v>57</v>
      </c>
      <c r="B4" s="693" t="s">
        <v>65</v>
      </c>
      <c r="C4" s="618" t="s">
        <v>58</v>
      </c>
      <c r="D4" s="770" t="s">
        <v>59</v>
      </c>
      <c r="E4" s="770"/>
      <c r="F4" s="770" t="s">
        <v>60</v>
      </c>
      <c r="G4" s="770"/>
      <c r="H4" s="770" t="s">
        <v>67</v>
      </c>
      <c r="I4" s="770"/>
      <c r="J4" s="770" t="s">
        <v>69</v>
      </c>
      <c r="K4" s="770"/>
      <c r="L4" s="770" t="s">
        <v>70</v>
      </c>
      <c r="M4" s="770"/>
      <c r="N4" s="770" t="s">
        <v>71</v>
      </c>
      <c r="O4" s="770"/>
      <c r="P4" s="770" t="s">
        <v>72</v>
      </c>
      <c r="Q4" s="770"/>
      <c r="R4" s="770" t="s">
        <v>104</v>
      </c>
      <c r="S4" s="770"/>
      <c r="T4" s="770" t="s">
        <v>98</v>
      </c>
      <c r="U4" s="770"/>
      <c r="V4" s="770" t="s">
        <v>186</v>
      </c>
      <c r="W4" s="770"/>
      <c r="X4" s="770"/>
      <c r="Y4" s="770"/>
    </row>
    <row r="5" spans="1:25" ht="45" customHeight="1" x14ac:dyDescent="0.25">
      <c r="A5" s="115" t="s">
        <v>191</v>
      </c>
      <c r="B5" s="622" t="s">
        <v>101</v>
      </c>
      <c r="C5" s="13" t="s">
        <v>74</v>
      </c>
      <c r="D5" s="769" t="s">
        <v>40</v>
      </c>
      <c r="E5" s="769"/>
      <c r="F5" s="769" t="s">
        <v>105</v>
      </c>
      <c r="G5" s="769"/>
      <c r="H5" s="769" t="s">
        <v>41</v>
      </c>
      <c r="I5" s="769"/>
      <c r="J5" s="769" t="s">
        <v>106</v>
      </c>
      <c r="K5" s="769"/>
      <c r="L5" s="769" t="s">
        <v>119</v>
      </c>
      <c r="M5" s="769"/>
      <c r="N5" s="769" t="s">
        <v>46</v>
      </c>
      <c r="O5" s="769"/>
      <c r="P5" s="769" t="s">
        <v>47</v>
      </c>
      <c r="Q5" s="769"/>
      <c r="R5" s="769" t="s">
        <v>109</v>
      </c>
      <c r="S5" s="769"/>
      <c r="T5" s="769" t="s">
        <v>114</v>
      </c>
      <c r="U5" s="769"/>
      <c r="V5" s="774" t="s">
        <v>88</v>
      </c>
      <c r="W5" s="774"/>
      <c r="X5" s="774"/>
      <c r="Y5" s="774"/>
    </row>
    <row r="6" spans="1:25" ht="46.5" customHeight="1" x14ac:dyDescent="0.25">
      <c r="A6" s="11" t="s">
        <v>1</v>
      </c>
      <c r="B6" s="16"/>
      <c r="C6" s="13" t="s">
        <v>94</v>
      </c>
      <c r="D6" s="50" t="s">
        <v>494</v>
      </c>
      <c r="E6" s="14" t="s">
        <v>481</v>
      </c>
      <c r="F6" s="661" t="s">
        <v>494</v>
      </c>
      <c r="G6" s="14" t="s">
        <v>481</v>
      </c>
      <c r="H6" s="661" t="s">
        <v>494</v>
      </c>
      <c r="I6" s="14" t="s">
        <v>481</v>
      </c>
      <c r="J6" s="661" t="s">
        <v>494</v>
      </c>
      <c r="K6" s="14" t="s">
        <v>481</v>
      </c>
      <c r="L6" s="661" t="s">
        <v>494</v>
      </c>
      <c r="M6" s="14" t="s">
        <v>481</v>
      </c>
      <c r="N6" s="661" t="s">
        <v>494</v>
      </c>
      <c r="O6" s="14" t="s">
        <v>481</v>
      </c>
      <c r="P6" s="661" t="s">
        <v>494</v>
      </c>
      <c r="Q6" s="14" t="s">
        <v>481</v>
      </c>
      <c r="R6" s="661" t="s">
        <v>494</v>
      </c>
      <c r="S6" s="14" t="s">
        <v>481</v>
      </c>
      <c r="T6" s="661" t="s">
        <v>494</v>
      </c>
      <c r="U6" s="14" t="s">
        <v>481</v>
      </c>
      <c r="V6" s="661" t="s">
        <v>494</v>
      </c>
      <c r="W6" s="14" t="s">
        <v>481</v>
      </c>
      <c r="X6" s="661" t="s">
        <v>494</v>
      </c>
      <c r="Y6" s="14" t="s">
        <v>481</v>
      </c>
    </row>
    <row r="7" spans="1:25" x14ac:dyDescent="0.25">
      <c r="A7" s="11" t="s">
        <v>3</v>
      </c>
      <c r="B7" s="16" t="s">
        <v>82</v>
      </c>
      <c r="C7" s="10" t="s">
        <v>235</v>
      </c>
      <c r="D7" s="119">
        <v>58964950</v>
      </c>
      <c r="E7" s="119">
        <v>57853261</v>
      </c>
      <c r="F7" s="119">
        <v>7706255</v>
      </c>
      <c r="G7" s="95">
        <v>7413047</v>
      </c>
      <c r="H7" s="95">
        <v>46749550</v>
      </c>
      <c r="I7" s="86">
        <v>57009173</v>
      </c>
      <c r="J7" s="95"/>
      <c r="K7" s="95"/>
      <c r="L7" s="95"/>
      <c r="M7" s="95"/>
      <c r="N7" s="95">
        <v>3810002</v>
      </c>
      <c r="O7" s="86">
        <v>3229079</v>
      </c>
      <c r="P7" s="95">
        <v>300000</v>
      </c>
      <c r="Q7" s="95">
        <f>P7-300000</f>
        <v>0</v>
      </c>
      <c r="R7" s="95"/>
      <c r="S7" s="95"/>
      <c r="T7" s="95"/>
      <c r="U7" s="95"/>
      <c r="V7" s="7">
        <f t="shared" ref="V7:V16" si="0">T7+R7+P7+N7+L7+J7+H7+F7+D7</f>
        <v>117530757</v>
      </c>
      <c r="W7" s="67">
        <v>63126</v>
      </c>
      <c r="X7" s="99">
        <f>58896+3200</f>
        <v>62096</v>
      </c>
      <c r="Y7" s="39">
        <f>E7+G7+I7+K7+M7+O7+Q7+S7+U7</f>
        <v>125504560</v>
      </c>
    </row>
    <row r="8" spans="1:25" s="621" customFormat="1" x14ac:dyDescent="0.25">
      <c r="A8" s="11" t="s">
        <v>4</v>
      </c>
      <c r="B8" s="16" t="s">
        <v>82</v>
      </c>
      <c r="C8" s="10" t="s">
        <v>238</v>
      </c>
      <c r="D8" s="119">
        <v>61412155</v>
      </c>
      <c r="E8" s="119">
        <v>77770873</v>
      </c>
      <c r="F8" s="119">
        <v>8473504</v>
      </c>
      <c r="G8" s="95">
        <v>9784756</v>
      </c>
      <c r="H8" s="95">
        <v>41081364</v>
      </c>
      <c r="I8" s="86">
        <v>50916498</v>
      </c>
      <c r="J8" s="95"/>
      <c r="K8" s="95"/>
      <c r="L8" s="95"/>
      <c r="M8" s="95"/>
      <c r="N8" s="95"/>
      <c r="O8" s="86">
        <v>355080</v>
      </c>
      <c r="P8" s="95">
        <v>7000000</v>
      </c>
      <c r="Q8" s="95">
        <f>-6350000+P8-650000</f>
        <v>0</v>
      </c>
      <c r="R8" s="95"/>
      <c r="S8" s="95"/>
      <c r="T8" s="95"/>
      <c r="U8" s="95"/>
      <c r="V8" s="7">
        <f t="shared" si="0"/>
        <v>117967023</v>
      </c>
      <c r="W8" s="67"/>
      <c r="X8" s="99"/>
      <c r="Y8" s="39">
        <f>E8+G8+I8+K8+M8+O8+Q8+S8+U8</f>
        <v>138827207</v>
      </c>
    </row>
    <row r="9" spans="1:25" x14ac:dyDescent="0.25">
      <c r="A9" s="11" t="s">
        <v>5</v>
      </c>
      <c r="B9" s="16" t="s">
        <v>81</v>
      </c>
      <c r="C9" s="10" t="s">
        <v>236</v>
      </c>
      <c r="D9" s="119">
        <v>3890505</v>
      </c>
      <c r="E9" s="119">
        <v>3446422</v>
      </c>
      <c r="F9" s="119">
        <v>812463</v>
      </c>
      <c r="G9" s="95">
        <f>30681+F9</f>
        <v>843144</v>
      </c>
      <c r="H9" s="95">
        <v>1032680</v>
      </c>
      <c r="I9" s="86">
        <v>849881</v>
      </c>
      <c r="J9" s="95"/>
      <c r="K9" s="95"/>
      <c r="L9" s="95"/>
      <c r="M9" s="95"/>
      <c r="N9" s="95">
        <v>60000</v>
      </c>
      <c r="O9" s="86">
        <v>215537</v>
      </c>
      <c r="P9" s="95"/>
      <c r="Q9" s="95"/>
      <c r="R9" s="95"/>
      <c r="S9" s="95"/>
      <c r="T9" s="95"/>
      <c r="U9" s="95"/>
      <c r="V9" s="7">
        <f t="shared" si="0"/>
        <v>5795648</v>
      </c>
      <c r="W9" s="67">
        <v>9158</v>
      </c>
      <c r="X9" s="99">
        <v>8953</v>
      </c>
      <c r="Y9" s="39">
        <f t="shared" ref="Y9:Y16" si="1">E9+G9+I9+K9+M9+O9+Q9+S9+U9</f>
        <v>5354984</v>
      </c>
    </row>
    <row r="10" spans="1:25" x14ac:dyDescent="0.25">
      <c r="A10" s="11" t="s">
        <v>7</v>
      </c>
      <c r="B10" s="16" t="s">
        <v>81</v>
      </c>
      <c r="C10" s="10" t="s">
        <v>237</v>
      </c>
      <c r="D10" s="119">
        <v>3869205</v>
      </c>
      <c r="E10" s="119">
        <v>4531559</v>
      </c>
      <c r="F10" s="119">
        <v>537385</v>
      </c>
      <c r="G10" s="95">
        <v>587646</v>
      </c>
      <c r="H10" s="95">
        <v>115811</v>
      </c>
      <c r="I10" s="86">
        <v>122574</v>
      </c>
      <c r="J10" s="95"/>
      <c r="K10" s="95"/>
      <c r="L10" s="95"/>
      <c r="M10" s="95"/>
      <c r="N10" s="95"/>
      <c r="O10" s="86">
        <f t="shared" ref="O10:O13" si="2">N10</f>
        <v>0</v>
      </c>
      <c r="P10" s="95"/>
      <c r="Q10" s="95"/>
      <c r="R10" s="95"/>
      <c r="S10" s="95"/>
      <c r="T10" s="95"/>
      <c r="U10" s="95"/>
      <c r="V10" s="7">
        <f t="shared" si="0"/>
        <v>4522401</v>
      </c>
      <c r="W10" s="67"/>
      <c r="X10" s="99"/>
      <c r="Y10" s="39">
        <f t="shared" si="1"/>
        <v>5241779</v>
      </c>
    </row>
    <row r="11" spans="1:25" x14ac:dyDescent="0.25">
      <c r="A11" s="11" t="s">
        <v>18</v>
      </c>
      <c r="B11" s="16" t="s">
        <v>81</v>
      </c>
      <c r="C11" s="10" t="s">
        <v>478</v>
      </c>
      <c r="D11" s="119">
        <v>893175</v>
      </c>
      <c r="E11" s="119">
        <v>2913728</v>
      </c>
      <c r="F11" s="119">
        <v>113000</v>
      </c>
      <c r="G11" s="95">
        <v>349817</v>
      </c>
      <c r="H11" s="95">
        <v>7384691</v>
      </c>
      <c r="I11" s="86">
        <v>11750288</v>
      </c>
      <c r="J11" s="95"/>
      <c r="K11" s="95"/>
      <c r="L11" s="95"/>
      <c r="M11" s="95"/>
      <c r="N11" s="95">
        <v>180000</v>
      </c>
      <c r="O11" s="86">
        <v>64080</v>
      </c>
      <c r="P11" s="95"/>
      <c r="Q11" s="95"/>
      <c r="R11" s="95"/>
      <c r="S11" s="95"/>
      <c r="T11" s="95"/>
      <c r="U11" s="95"/>
      <c r="V11" s="7">
        <f t="shared" si="0"/>
        <v>8570866</v>
      </c>
      <c r="W11" s="67">
        <v>15074</v>
      </c>
      <c r="X11" s="99">
        <v>15183</v>
      </c>
      <c r="Y11" s="39">
        <f t="shared" si="1"/>
        <v>15077913</v>
      </c>
    </row>
    <row r="12" spans="1:25" x14ac:dyDescent="0.25">
      <c r="A12" s="11" t="s">
        <v>20</v>
      </c>
      <c r="B12" s="16" t="s">
        <v>81</v>
      </c>
      <c r="C12" s="10" t="s">
        <v>239</v>
      </c>
      <c r="D12" s="124">
        <v>10831990</v>
      </c>
      <c r="E12" s="119">
        <v>11932569</v>
      </c>
      <c r="F12" s="119">
        <v>1423064</v>
      </c>
      <c r="G12" s="95">
        <f>79308+F12</f>
        <v>1502372</v>
      </c>
      <c r="H12" s="95">
        <v>155250</v>
      </c>
      <c r="I12" s="86">
        <v>307758</v>
      </c>
      <c r="J12" s="95"/>
      <c r="K12" s="95"/>
      <c r="L12" s="95"/>
      <c r="M12" s="95"/>
      <c r="N12" s="95">
        <v>60000</v>
      </c>
      <c r="O12" s="86">
        <v>199440</v>
      </c>
      <c r="P12" s="95"/>
      <c r="Q12" s="95"/>
      <c r="R12" s="95"/>
      <c r="S12" s="95"/>
      <c r="T12" s="95"/>
      <c r="U12" s="95"/>
      <c r="V12" s="7">
        <f t="shared" si="0"/>
        <v>12470304</v>
      </c>
      <c r="W12" s="67">
        <v>6981</v>
      </c>
      <c r="X12" s="99">
        <v>7395</v>
      </c>
      <c r="Y12" s="39">
        <f t="shared" si="1"/>
        <v>13942139</v>
      </c>
    </row>
    <row r="13" spans="1:25" x14ac:dyDescent="0.25">
      <c r="A13" s="11" t="s">
        <v>21</v>
      </c>
      <c r="B13" s="16" t="s">
        <v>82</v>
      </c>
      <c r="C13" s="10" t="s">
        <v>495</v>
      </c>
      <c r="D13" s="124">
        <v>570000</v>
      </c>
      <c r="E13" s="119">
        <v>1218251</v>
      </c>
      <c r="F13" s="119">
        <v>39175</v>
      </c>
      <c r="G13" s="95">
        <f>32500+F13+6500</f>
        <v>78175</v>
      </c>
      <c r="H13" s="95">
        <v>50200</v>
      </c>
      <c r="I13" s="86">
        <v>50517</v>
      </c>
      <c r="J13" s="95"/>
      <c r="K13" s="95"/>
      <c r="L13" s="95"/>
      <c r="M13" s="95"/>
      <c r="N13" s="95"/>
      <c r="O13" s="86">
        <f t="shared" si="2"/>
        <v>0</v>
      </c>
      <c r="P13" s="95"/>
      <c r="Q13" s="95"/>
      <c r="R13" s="95"/>
      <c r="S13" s="95"/>
      <c r="T13" s="95"/>
      <c r="U13" s="95"/>
      <c r="V13" s="7">
        <f t="shared" si="0"/>
        <v>659375</v>
      </c>
      <c r="W13" s="67"/>
      <c r="X13" s="99"/>
      <c r="Y13" s="39">
        <f t="shared" si="1"/>
        <v>1346943</v>
      </c>
    </row>
    <row r="14" spans="1:25" x14ac:dyDescent="0.25">
      <c r="A14" s="11" t="s">
        <v>23</v>
      </c>
      <c r="B14" s="16"/>
      <c r="C14" s="68" t="s">
        <v>96</v>
      </c>
      <c r="D14" s="7">
        <f t="shared" ref="D14:U14" si="3">SUM(D7:D13)</f>
        <v>140431980</v>
      </c>
      <c r="E14" s="7">
        <f t="shared" si="3"/>
        <v>159666663</v>
      </c>
      <c r="F14" s="7">
        <f t="shared" si="3"/>
        <v>19104846</v>
      </c>
      <c r="G14" s="7">
        <f t="shared" si="3"/>
        <v>20558957</v>
      </c>
      <c r="H14" s="7">
        <f t="shared" si="3"/>
        <v>96569546</v>
      </c>
      <c r="I14" s="7">
        <f t="shared" si="3"/>
        <v>121006689</v>
      </c>
      <c r="J14" s="7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7">
        <f t="shared" si="3"/>
        <v>4110002</v>
      </c>
      <c r="O14" s="86">
        <f>O7+O8+O9+O12+O11</f>
        <v>4063216</v>
      </c>
      <c r="P14" s="7">
        <f t="shared" si="3"/>
        <v>7300000</v>
      </c>
      <c r="Q14" s="7">
        <f t="shared" si="3"/>
        <v>0</v>
      </c>
      <c r="R14" s="7">
        <f t="shared" si="3"/>
        <v>0</v>
      </c>
      <c r="S14" s="7">
        <f t="shared" si="3"/>
        <v>0</v>
      </c>
      <c r="T14" s="7">
        <f t="shared" si="3"/>
        <v>0</v>
      </c>
      <c r="U14" s="7">
        <f t="shared" si="3"/>
        <v>0</v>
      </c>
      <c r="V14" s="7">
        <f t="shared" si="0"/>
        <v>267516374</v>
      </c>
      <c r="W14" s="7">
        <f>SUM(W7:W13)</f>
        <v>94339</v>
      </c>
      <c r="X14" s="7">
        <f>SUM(X7:X13)</f>
        <v>93627</v>
      </c>
      <c r="Y14" s="39">
        <f t="shared" si="1"/>
        <v>305295525</v>
      </c>
    </row>
    <row r="15" spans="1:25" x14ac:dyDescent="0.25">
      <c r="A15" s="11" t="s">
        <v>24</v>
      </c>
      <c r="B15" s="16"/>
      <c r="C15" s="16" t="s">
        <v>86</v>
      </c>
      <c r="D15" s="67">
        <f t="shared" ref="D15:U15" si="4">SUMIF($B7:$B13,"kötelező",D7:D13)</f>
        <v>19484875</v>
      </c>
      <c r="E15" s="67">
        <f t="shared" si="4"/>
        <v>22824278</v>
      </c>
      <c r="F15" s="67">
        <f t="shared" si="4"/>
        <v>2885912</v>
      </c>
      <c r="G15" s="67">
        <f t="shared" si="4"/>
        <v>3282979</v>
      </c>
      <c r="H15" s="67">
        <f t="shared" si="4"/>
        <v>8688432</v>
      </c>
      <c r="I15" s="67">
        <f t="shared" si="4"/>
        <v>13030501</v>
      </c>
      <c r="J15" s="67">
        <f t="shared" si="4"/>
        <v>0</v>
      </c>
      <c r="K15" s="67">
        <f t="shared" si="4"/>
        <v>0</v>
      </c>
      <c r="L15" s="67">
        <f t="shared" si="4"/>
        <v>0</v>
      </c>
      <c r="M15" s="67">
        <f t="shared" si="4"/>
        <v>0</v>
      </c>
      <c r="N15" s="67">
        <f t="shared" si="4"/>
        <v>300000</v>
      </c>
      <c r="O15" s="86">
        <f>O9+O10+O12+O11</f>
        <v>479057</v>
      </c>
      <c r="P15" s="67">
        <f t="shared" si="4"/>
        <v>0</v>
      </c>
      <c r="Q15" s="67">
        <f t="shared" si="4"/>
        <v>0</v>
      </c>
      <c r="R15" s="67">
        <f t="shared" si="4"/>
        <v>0</v>
      </c>
      <c r="S15" s="67">
        <f t="shared" si="4"/>
        <v>0</v>
      </c>
      <c r="T15" s="67">
        <f t="shared" si="4"/>
        <v>0</v>
      </c>
      <c r="U15" s="67">
        <f t="shared" si="4"/>
        <v>0</v>
      </c>
      <c r="V15" s="7">
        <f t="shared" si="0"/>
        <v>31359219</v>
      </c>
      <c r="W15" s="67">
        <f>SUMIF($B7:$B13,"kötelező",W7:W13)</f>
        <v>31213</v>
      </c>
      <c r="X15" s="67">
        <f>SUMIF($B7:$B13,"kötelező",X7:X13)</f>
        <v>31531</v>
      </c>
      <c r="Y15" s="39">
        <f t="shared" si="1"/>
        <v>39616815</v>
      </c>
    </row>
    <row r="16" spans="1:25" x14ac:dyDescent="0.25">
      <c r="A16" s="11" t="s">
        <v>25</v>
      </c>
      <c r="B16" s="16"/>
      <c r="C16" s="16" t="s">
        <v>87</v>
      </c>
      <c r="D16" s="67">
        <f t="shared" ref="D16:U16" si="5">SUMIF($B7:$B13,"nem kötelező",D7:D13)</f>
        <v>120947105</v>
      </c>
      <c r="E16" s="67">
        <f t="shared" si="5"/>
        <v>136842385</v>
      </c>
      <c r="F16" s="67">
        <f t="shared" si="5"/>
        <v>16218934</v>
      </c>
      <c r="G16" s="67">
        <f t="shared" si="5"/>
        <v>17275978</v>
      </c>
      <c r="H16" s="67">
        <f t="shared" si="5"/>
        <v>87881114</v>
      </c>
      <c r="I16" s="67">
        <f t="shared" si="5"/>
        <v>107976188</v>
      </c>
      <c r="J16" s="67">
        <f t="shared" si="5"/>
        <v>0</v>
      </c>
      <c r="K16" s="67">
        <f t="shared" si="5"/>
        <v>0</v>
      </c>
      <c r="L16" s="67">
        <f t="shared" si="5"/>
        <v>0</v>
      </c>
      <c r="M16" s="67">
        <f t="shared" si="5"/>
        <v>0</v>
      </c>
      <c r="N16" s="67">
        <f t="shared" si="5"/>
        <v>3810002</v>
      </c>
      <c r="O16" s="86">
        <f>O7+O8</f>
        <v>3584159</v>
      </c>
      <c r="P16" s="67">
        <f t="shared" si="5"/>
        <v>7300000</v>
      </c>
      <c r="Q16" s="67">
        <f t="shared" si="5"/>
        <v>0</v>
      </c>
      <c r="R16" s="67">
        <f t="shared" si="5"/>
        <v>0</v>
      </c>
      <c r="S16" s="67">
        <f t="shared" si="5"/>
        <v>0</v>
      </c>
      <c r="T16" s="67">
        <f t="shared" si="5"/>
        <v>0</v>
      </c>
      <c r="U16" s="67">
        <f t="shared" si="5"/>
        <v>0</v>
      </c>
      <c r="V16" s="7">
        <f t="shared" si="0"/>
        <v>236157155</v>
      </c>
      <c r="W16" s="67">
        <f>SUMIF($B7:$B13,"nem kötelező",W7:W13)</f>
        <v>63126</v>
      </c>
      <c r="X16" s="67">
        <f>SUMIF($B7:$B13,"nem kötelező",X7:X13)</f>
        <v>62096</v>
      </c>
      <c r="Y16" s="39">
        <f t="shared" si="1"/>
        <v>265678710</v>
      </c>
    </row>
    <row r="17" spans="1:26" x14ac:dyDescent="0.25">
      <c r="A17" s="11" t="s">
        <v>27</v>
      </c>
      <c r="B17" s="16"/>
      <c r="C17" s="16" t="s">
        <v>116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39">
        <v>31</v>
      </c>
      <c r="W17" s="39">
        <v>30</v>
      </c>
      <c r="X17" s="39">
        <v>30</v>
      </c>
      <c r="Y17" s="39">
        <v>31</v>
      </c>
      <c r="Z17" s="23"/>
    </row>
    <row r="18" spans="1:26" x14ac:dyDescent="0.25">
      <c r="A18" s="11" t="s">
        <v>28</v>
      </c>
      <c r="B18" s="16"/>
      <c r="C18" s="16" t="s">
        <v>115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>
        <v>0</v>
      </c>
      <c r="W18" s="67">
        <v>0</v>
      </c>
      <c r="X18" s="67">
        <v>0</v>
      </c>
      <c r="Y18" s="67">
        <v>0</v>
      </c>
    </row>
    <row r="19" spans="1:26" x14ac:dyDescent="0.25">
      <c r="Y19" s="141"/>
    </row>
    <row r="20" spans="1:26" x14ac:dyDescent="0.25">
      <c r="E20" s="23"/>
      <c r="I20" s="23"/>
      <c r="V20" s="23"/>
      <c r="Y20" s="141"/>
    </row>
    <row r="21" spans="1:26" x14ac:dyDescent="0.25">
      <c r="V21" s="23"/>
    </row>
    <row r="22" spans="1:26" x14ac:dyDescent="0.25">
      <c r="Y22" s="141"/>
    </row>
  </sheetData>
  <mergeCells count="22">
    <mergeCell ref="L2:S2"/>
    <mergeCell ref="C3:Y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Y5"/>
    <mergeCell ref="D4:E4"/>
    <mergeCell ref="F4:G4"/>
    <mergeCell ref="H4:I4"/>
    <mergeCell ref="J4:K4"/>
    <mergeCell ref="V4:Y4"/>
    <mergeCell ref="L4:M4"/>
    <mergeCell ref="N4:O4"/>
    <mergeCell ref="P4:Q4"/>
    <mergeCell ref="R4:S4"/>
    <mergeCell ref="T4:U4"/>
  </mergeCells>
  <phoneticPr fontId="3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Y16"/>
  <sheetViews>
    <sheetView topLeftCell="D1" zoomScale="86" zoomScaleNormal="86" zoomScaleSheetLayoutView="100" workbookViewId="0">
      <selection activeCell="J11" sqref="J11"/>
    </sheetView>
  </sheetViews>
  <sheetFormatPr defaultColWidth="9.28515625" defaultRowHeight="15" x14ac:dyDescent="0.25"/>
  <cols>
    <col min="1" max="1" width="5.140625" style="9" customWidth="1"/>
    <col min="2" max="2" width="10" style="66" bestFit="1" customWidth="1"/>
    <col min="3" max="3" width="36" style="9" customWidth="1"/>
    <col min="4" max="9" width="12.7109375" style="9" customWidth="1"/>
    <col min="10" max="10" width="9.7109375" style="9" customWidth="1"/>
    <col min="11" max="11" width="7.85546875" style="9" bestFit="1" customWidth="1"/>
    <col min="12" max="12" width="9.85546875" style="9" customWidth="1"/>
    <col min="13" max="13" width="7.85546875" style="9" bestFit="1" customWidth="1"/>
    <col min="14" max="14" width="9.85546875" style="9" customWidth="1"/>
    <col min="15" max="15" width="10.140625" style="9" bestFit="1" customWidth="1"/>
    <col min="16" max="16" width="9.5703125" style="9" customWidth="1"/>
    <col min="17" max="17" width="7.85546875" style="9" bestFit="1" customWidth="1"/>
    <col min="18" max="18" width="10" style="9" customWidth="1"/>
    <col min="19" max="19" width="7.85546875" style="9" bestFit="1" customWidth="1"/>
    <col min="20" max="20" width="9.42578125" style="9" customWidth="1"/>
    <col min="21" max="21" width="7.85546875" style="9" bestFit="1" customWidth="1"/>
    <col min="22" max="22" width="12.7109375" style="9" customWidth="1"/>
    <col min="23" max="23" width="0" style="9" hidden="1" customWidth="1"/>
    <col min="24" max="24" width="11.28515625" style="9" hidden="1" customWidth="1"/>
    <col min="25" max="25" width="12.42578125" style="9" bestFit="1" customWidth="1"/>
    <col min="26" max="16384" width="9.28515625" style="9"/>
  </cols>
  <sheetData>
    <row r="1" spans="1:25" x14ac:dyDescent="0.25"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 t="s">
        <v>484</v>
      </c>
      <c r="O1" s="621"/>
    </row>
    <row r="2" spans="1:25" ht="42" customHeight="1" x14ac:dyDescent="0.25">
      <c r="A2" s="116"/>
      <c r="B2" s="117"/>
      <c r="C2" s="772" t="s">
        <v>485</v>
      </c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772"/>
      <c r="Y2" s="772"/>
    </row>
    <row r="3" spans="1:25" ht="42" customHeight="1" x14ac:dyDescent="0.25">
      <c r="A3" s="40" t="s">
        <v>57</v>
      </c>
      <c r="B3" s="40" t="s">
        <v>65</v>
      </c>
      <c r="C3" s="114" t="s">
        <v>58</v>
      </c>
      <c r="D3" s="775" t="s">
        <v>59</v>
      </c>
      <c r="E3" s="775"/>
      <c r="F3" s="775" t="s">
        <v>60</v>
      </c>
      <c r="G3" s="775"/>
      <c r="H3" s="775" t="s">
        <v>67</v>
      </c>
      <c r="I3" s="775"/>
      <c r="J3" s="775" t="s">
        <v>69</v>
      </c>
      <c r="K3" s="775"/>
      <c r="L3" s="775" t="s">
        <v>70</v>
      </c>
      <c r="M3" s="775"/>
      <c r="N3" s="775" t="s">
        <v>71</v>
      </c>
      <c r="O3" s="775"/>
      <c r="P3" s="775" t="s">
        <v>72</v>
      </c>
      <c r="Q3" s="775"/>
      <c r="R3" s="775" t="s">
        <v>104</v>
      </c>
      <c r="S3" s="775"/>
      <c r="T3" s="775" t="s">
        <v>98</v>
      </c>
      <c r="U3" s="775"/>
      <c r="V3" s="775" t="s">
        <v>186</v>
      </c>
      <c r="W3" s="775"/>
      <c r="X3" s="775"/>
      <c r="Y3" s="775"/>
    </row>
    <row r="4" spans="1:25" ht="56.25" customHeight="1" x14ac:dyDescent="0.25">
      <c r="A4" s="115" t="s">
        <v>191</v>
      </c>
      <c r="B4" s="114" t="s">
        <v>101</v>
      </c>
      <c r="C4" s="13" t="s">
        <v>74</v>
      </c>
      <c r="D4" s="769" t="s">
        <v>40</v>
      </c>
      <c r="E4" s="769"/>
      <c r="F4" s="769" t="s">
        <v>105</v>
      </c>
      <c r="G4" s="769"/>
      <c r="H4" s="769" t="s">
        <v>41</v>
      </c>
      <c r="I4" s="769"/>
      <c r="J4" s="769" t="s">
        <v>106</v>
      </c>
      <c r="K4" s="769"/>
      <c r="L4" s="769" t="s">
        <v>43</v>
      </c>
      <c r="M4" s="769"/>
      <c r="N4" s="769" t="s">
        <v>46</v>
      </c>
      <c r="O4" s="769"/>
      <c r="P4" s="769" t="s">
        <v>47</v>
      </c>
      <c r="Q4" s="769"/>
      <c r="R4" s="769" t="s">
        <v>109</v>
      </c>
      <c r="S4" s="769"/>
      <c r="T4" s="769" t="s">
        <v>114</v>
      </c>
      <c r="U4" s="769"/>
      <c r="V4" s="774" t="s">
        <v>88</v>
      </c>
      <c r="W4" s="774"/>
      <c r="X4" s="774"/>
      <c r="Y4" s="774"/>
    </row>
    <row r="5" spans="1:25" ht="48.75" customHeight="1" x14ac:dyDescent="0.25">
      <c r="A5" s="11" t="s">
        <v>1</v>
      </c>
      <c r="B5" s="16"/>
      <c r="C5" s="13" t="s">
        <v>94</v>
      </c>
      <c r="D5" s="101" t="s">
        <v>480</v>
      </c>
      <c r="E5" s="14" t="s">
        <v>481</v>
      </c>
      <c r="F5" s="661" t="s">
        <v>480</v>
      </c>
      <c r="G5" s="14" t="s">
        <v>481</v>
      </c>
      <c r="H5" s="661" t="s">
        <v>480</v>
      </c>
      <c r="I5" s="14" t="s">
        <v>481</v>
      </c>
      <c r="J5" s="661" t="s">
        <v>480</v>
      </c>
      <c r="K5" s="14" t="s">
        <v>481</v>
      </c>
      <c r="L5" s="661" t="s">
        <v>480</v>
      </c>
      <c r="M5" s="14" t="s">
        <v>481</v>
      </c>
      <c r="N5" s="661" t="s">
        <v>480</v>
      </c>
      <c r="O5" s="14" t="s">
        <v>481</v>
      </c>
      <c r="P5" s="661" t="s">
        <v>480</v>
      </c>
      <c r="Q5" s="14" t="s">
        <v>481</v>
      </c>
      <c r="R5" s="661" t="s">
        <v>480</v>
      </c>
      <c r="S5" s="14" t="s">
        <v>481</v>
      </c>
      <c r="T5" s="661" t="s">
        <v>480</v>
      </c>
      <c r="U5" s="14" t="s">
        <v>481</v>
      </c>
      <c r="V5" s="661" t="s">
        <v>480</v>
      </c>
      <c r="W5" s="14" t="s">
        <v>481</v>
      </c>
      <c r="X5" s="661" t="s">
        <v>480</v>
      </c>
      <c r="Y5" s="14" t="s">
        <v>481</v>
      </c>
    </row>
    <row r="6" spans="1:25" s="45" customFormat="1" ht="33.75" customHeight="1" x14ac:dyDescent="0.25">
      <c r="A6" s="11" t="s">
        <v>3</v>
      </c>
      <c r="B6" s="118" t="s">
        <v>81</v>
      </c>
      <c r="C6" s="643" t="s">
        <v>468</v>
      </c>
      <c r="D6" s="86">
        <v>103549703</v>
      </c>
      <c r="E6" s="86">
        <v>102523757</v>
      </c>
      <c r="F6" s="86">
        <v>13361491</v>
      </c>
      <c r="G6" s="86">
        <v>13957851</v>
      </c>
      <c r="H6" s="86"/>
      <c r="I6" s="86">
        <v>79376</v>
      </c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98">
        <f>D6+F6+H6+J6+L6+N6+P6+R6</f>
        <v>116911194</v>
      </c>
      <c r="W6" s="98">
        <f t="shared" ref="W6:X6" si="0">E6+G6+I6+K6+M6+O6+Q6+S6</f>
        <v>116560984</v>
      </c>
      <c r="X6" s="98">
        <f t="shared" si="0"/>
        <v>13361491</v>
      </c>
      <c r="Y6" s="98">
        <f>E6+G6+I6+K6+M6+O6+Q6+S6</f>
        <v>116560984</v>
      </c>
    </row>
    <row r="7" spans="1:25" s="45" customFormat="1" ht="36" customHeight="1" x14ac:dyDescent="0.25">
      <c r="A7" s="11" t="s">
        <v>4</v>
      </c>
      <c r="B7" s="118" t="s">
        <v>81</v>
      </c>
      <c r="C7" s="643" t="s">
        <v>469</v>
      </c>
      <c r="D7" s="86"/>
      <c r="E7" s="86">
        <v>587380</v>
      </c>
      <c r="F7" s="86"/>
      <c r="G7" s="86">
        <v>49842</v>
      </c>
      <c r="H7" s="86">
        <v>627000</v>
      </c>
      <c r="I7" s="86">
        <v>1279500</v>
      </c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98">
        <f t="shared" ref="V7:V11" si="1">D7+F7+H7+J7+L7+N7+P7+R7</f>
        <v>627000</v>
      </c>
      <c r="W7" s="98"/>
      <c r="X7" s="98"/>
      <c r="Y7" s="98">
        <f t="shared" ref="Y7:Y11" si="2">E7+G7+I7+K7+M7+O7+Q7+S7</f>
        <v>1916722</v>
      </c>
    </row>
    <row r="8" spans="1:25" s="45" customFormat="1" ht="33.75" customHeight="1" x14ac:dyDescent="0.25">
      <c r="A8" s="11" t="s">
        <v>5</v>
      </c>
      <c r="B8" s="118" t="s">
        <v>81</v>
      </c>
      <c r="C8" s="643" t="s">
        <v>473</v>
      </c>
      <c r="D8" s="86"/>
      <c r="E8" s="86">
        <v>709913</v>
      </c>
      <c r="F8" s="86"/>
      <c r="G8" s="86">
        <v>83200</v>
      </c>
      <c r="H8" s="86">
        <v>8990805</v>
      </c>
      <c r="I8" s="86">
        <v>9998487</v>
      </c>
      <c r="J8" s="86"/>
      <c r="K8" s="86"/>
      <c r="L8" s="86"/>
      <c r="M8" s="86"/>
      <c r="N8" s="86">
        <v>835000</v>
      </c>
      <c r="O8" s="86">
        <v>1921760</v>
      </c>
      <c r="P8" s="86"/>
      <c r="Q8" s="86"/>
      <c r="R8" s="86"/>
      <c r="S8" s="86"/>
      <c r="T8" s="86"/>
      <c r="U8" s="86"/>
      <c r="V8" s="98">
        <f t="shared" si="1"/>
        <v>9825805</v>
      </c>
      <c r="W8" s="98"/>
      <c r="X8" s="98"/>
      <c r="Y8" s="98">
        <f t="shared" si="2"/>
        <v>12713360</v>
      </c>
    </row>
    <row r="9" spans="1:25" s="45" customFormat="1" ht="33.75" customHeight="1" x14ac:dyDescent="0.25">
      <c r="A9" s="11" t="s">
        <v>7</v>
      </c>
      <c r="B9" s="118" t="s">
        <v>81</v>
      </c>
      <c r="C9" s="643" t="s">
        <v>470</v>
      </c>
      <c r="D9" s="86"/>
      <c r="E9" s="86"/>
      <c r="F9" s="86"/>
      <c r="G9" s="86"/>
      <c r="H9" s="86">
        <v>25172264</v>
      </c>
      <c r="I9" s="86">
        <v>28236922</v>
      </c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98">
        <f t="shared" si="1"/>
        <v>25172264</v>
      </c>
      <c r="W9" s="98"/>
      <c r="X9" s="98"/>
      <c r="Y9" s="98">
        <f t="shared" si="2"/>
        <v>28236922</v>
      </c>
    </row>
    <row r="10" spans="1:25" s="45" customFormat="1" ht="33.75" customHeight="1" x14ac:dyDescent="0.25">
      <c r="A10" s="11" t="s">
        <v>18</v>
      </c>
      <c r="B10" s="118" t="s">
        <v>81</v>
      </c>
      <c r="C10" s="643" t="s">
        <v>471</v>
      </c>
      <c r="D10" s="86">
        <v>23219468</v>
      </c>
      <c r="E10" s="86">
        <v>24537329</v>
      </c>
      <c r="F10" s="86">
        <v>2980268</v>
      </c>
      <c r="G10" s="86">
        <v>3213265</v>
      </c>
      <c r="H10" s="86">
        <v>1549600</v>
      </c>
      <c r="I10" s="86">
        <v>1029915</v>
      </c>
      <c r="J10" s="86"/>
      <c r="K10" s="86"/>
      <c r="L10" s="86"/>
      <c r="M10" s="86"/>
      <c r="N10" s="86">
        <v>41064</v>
      </c>
      <c r="O10" s="86">
        <v>11512</v>
      </c>
      <c r="P10" s="86"/>
      <c r="Q10" s="86"/>
      <c r="R10" s="86"/>
      <c r="S10" s="86"/>
      <c r="T10" s="86"/>
      <c r="U10" s="86"/>
      <c r="V10" s="98">
        <f t="shared" si="1"/>
        <v>27790400</v>
      </c>
      <c r="W10" s="98"/>
      <c r="X10" s="98"/>
      <c r="Y10" s="98">
        <f t="shared" si="2"/>
        <v>28792021</v>
      </c>
    </row>
    <row r="11" spans="1:25" s="45" customFormat="1" ht="33.75" customHeight="1" x14ac:dyDescent="0.25">
      <c r="A11" s="11" t="s">
        <v>20</v>
      </c>
      <c r="B11" s="118" t="s">
        <v>81</v>
      </c>
      <c r="C11" s="643" t="s">
        <v>472</v>
      </c>
      <c r="D11" s="86"/>
      <c r="E11" s="86"/>
      <c r="F11" s="86"/>
      <c r="G11" s="86"/>
      <c r="H11" s="86">
        <v>4427068</v>
      </c>
      <c r="I11" s="86">
        <v>5107486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98">
        <f t="shared" si="1"/>
        <v>4427068</v>
      </c>
      <c r="W11" s="98"/>
      <c r="X11" s="98"/>
      <c r="Y11" s="98">
        <f t="shared" si="2"/>
        <v>5107486</v>
      </c>
    </row>
    <row r="12" spans="1:25" x14ac:dyDescent="0.25">
      <c r="A12" s="11" t="s">
        <v>21</v>
      </c>
      <c r="B12" s="20"/>
      <c r="C12" s="102" t="s">
        <v>96</v>
      </c>
      <c r="D12" s="7">
        <f>SUM(D6:D11)</f>
        <v>126769171</v>
      </c>
      <c r="E12" s="7">
        <f t="shared" ref="E12:X12" si="3">SUM(E6:E11)</f>
        <v>128358379</v>
      </c>
      <c r="F12" s="7">
        <f t="shared" si="3"/>
        <v>16341759</v>
      </c>
      <c r="G12" s="7">
        <f t="shared" si="3"/>
        <v>17304158</v>
      </c>
      <c r="H12" s="7">
        <f t="shared" si="3"/>
        <v>40766737</v>
      </c>
      <c r="I12" s="7">
        <f t="shared" si="3"/>
        <v>45731686</v>
      </c>
      <c r="J12" s="7">
        <f t="shared" si="3"/>
        <v>0</v>
      </c>
      <c r="K12" s="7">
        <f t="shared" si="3"/>
        <v>0</v>
      </c>
      <c r="L12" s="7">
        <f t="shared" si="3"/>
        <v>0</v>
      </c>
      <c r="M12" s="7">
        <f t="shared" si="3"/>
        <v>0</v>
      </c>
      <c r="N12" s="7">
        <f t="shared" si="3"/>
        <v>876064</v>
      </c>
      <c r="O12" s="7">
        <f t="shared" si="3"/>
        <v>1933272</v>
      </c>
      <c r="P12" s="7">
        <f t="shared" si="3"/>
        <v>0</v>
      </c>
      <c r="Q12" s="7">
        <f t="shared" si="3"/>
        <v>0</v>
      </c>
      <c r="R12" s="7">
        <f t="shared" si="3"/>
        <v>0</v>
      </c>
      <c r="S12" s="7">
        <f t="shared" si="3"/>
        <v>0</v>
      </c>
      <c r="T12" s="7">
        <f t="shared" si="3"/>
        <v>0</v>
      </c>
      <c r="U12" s="7">
        <f t="shared" si="3"/>
        <v>0</v>
      </c>
      <c r="V12" s="7">
        <f t="shared" si="3"/>
        <v>184753731</v>
      </c>
      <c r="W12" s="7">
        <f t="shared" si="3"/>
        <v>116560984</v>
      </c>
      <c r="X12" s="7">
        <f t="shared" si="3"/>
        <v>13361491</v>
      </c>
      <c r="Y12" s="7">
        <f>SUM(Y6:Y11)</f>
        <v>193327495</v>
      </c>
    </row>
    <row r="13" spans="1:25" x14ac:dyDescent="0.25">
      <c r="A13" s="11" t="s">
        <v>23</v>
      </c>
      <c r="B13" s="20"/>
      <c r="C13" s="20" t="s">
        <v>86</v>
      </c>
      <c r="D13" s="67">
        <f>SUMIF($B6:$B11,"kötelező",D6:D11)</f>
        <v>126769171</v>
      </c>
      <c r="E13" s="67">
        <f t="shared" ref="E13:Y13" si="4">SUMIF($B6:$B11,"kötelező",E6:E11)</f>
        <v>128358379</v>
      </c>
      <c r="F13" s="67">
        <f t="shared" si="4"/>
        <v>16341759</v>
      </c>
      <c r="G13" s="67">
        <f t="shared" si="4"/>
        <v>17304158</v>
      </c>
      <c r="H13" s="67">
        <f t="shared" si="4"/>
        <v>40766737</v>
      </c>
      <c r="I13" s="67">
        <f t="shared" si="4"/>
        <v>45731686</v>
      </c>
      <c r="J13" s="67">
        <f t="shared" si="4"/>
        <v>0</v>
      </c>
      <c r="K13" s="67">
        <f t="shared" si="4"/>
        <v>0</v>
      </c>
      <c r="L13" s="67">
        <f t="shared" si="4"/>
        <v>0</v>
      </c>
      <c r="M13" s="67">
        <f t="shared" si="4"/>
        <v>0</v>
      </c>
      <c r="N13" s="67">
        <f t="shared" si="4"/>
        <v>876064</v>
      </c>
      <c r="O13" s="67">
        <f t="shared" si="4"/>
        <v>1933272</v>
      </c>
      <c r="P13" s="67">
        <f t="shared" si="4"/>
        <v>0</v>
      </c>
      <c r="Q13" s="67">
        <f t="shared" si="4"/>
        <v>0</v>
      </c>
      <c r="R13" s="67">
        <f t="shared" si="4"/>
        <v>0</v>
      </c>
      <c r="S13" s="67">
        <f t="shared" si="4"/>
        <v>0</v>
      </c>
      <c r="T13" s="67">
        <f t="shared" si="4"/>
        <v>0</v>
      </c>
      <c r="U13" s="67">
        <f t="shared" si="4"/>
        <v>0</v>
      </c>
      <c r="V13" s="67">
        <f t="shared" si="4"/>
        <v>184753731</v>
      </c>
      <c r="W13" s="67">
        <f t="shared" si="4"/>
        <v>116560984</v>
      </c>
      <c r="X13" s="67">
        <f t="shared" si="4"/>
        <v>13361491</v>
      </c>
      <c r="Y13" s="67">
        <f t="shared" si="4"/>
        <v>193327495</v>
      </c>
    </row>
    <row r="14" spans="1:25" x14ac:dyDescent="0.25">
      <c r="A14" s="11" t="s">
        <v>24</v>
      </c>
      <c r="B14" s="20"/>
      <c r="C14" s="20" t="s">
        <v>87</v>
      </c>
      <c r="D14" s="67">
        <f>SUMIF($B6:$B10,"nem kötelező",D6:D10)</f>
        <v>0</v>
      </c>
      <c r="E14" s="67">
        <f t="shared" ref="E14:Y14" si="5">SUMIF($B6:$B10,"nem kötelező",E6:E10)</f>
        <v>0</v>
      </c>
      <c r="F14" s="67">
        <f t="shared" si="5"/>
        <v>0</v>
      </c>
      <c r="G14" s="67">
        <f t="shared" si="5"/>
        <v>0</v>
      </c>
      <c r="H14" s="67">
        <f t="shared" si="5"/>
        <v>0</v>
      </c>
      <c r="I14" s="67">
        <f t="shared" si="5"/>
        <v>0</v>
      </c>
      <c r="J14" s="67">
        <f t="shared" si="5"/>
        <v>0</v>
      </c>
      <c r="K14" s="67">
        <f t="shared" si="5"/>
        <v>0</v>
      </c>
      <c r="L14" s="67">
        <f t="shared" si="5"/>
        <v>0</v>
      </c>
      <c r="M14" s="67">
        <f t="shared" si="5"/>
        <v>0</v>
      </c>
      <c r="N14" s="67">
        <f t="shared" si="5"/>
        <v>0</v>
      </c>
      <c r="O14" s="67">
        <f t="shared" si="5"/>
        <v>0</v>
      </c>
      <c r="P14" s="67">
        <f t="shared" si="5"/>
        <v>0</v>
      </c>
      <c r="Q14" s="67">
        <f t="shared" si="5"/>
        <v>0</v>
      </c>
      <c r="R14" s="67">
        <f t="shared" si="5"/>
        <v>0</v>
      </c>
      <c r="S14" s="67">
        <f t="shared" si="5"/>
        <v>0</v>
      </c>
      <c r="T14" s="67">
        <f t="shared" si="5"/>
        <v>0</v>
      </c>
      <c r="U14" s="67">
        <f t="shared" si="5"/>
        <v>0</v>
      </c>
      <c r="V14" s="67">
        <f t="shared" si="5"/>
        <v>0</v>
      </c>
      <c r="W14" s="67">
        <f t="shared" si="5"/>
        <v>0</v>
      </c>
      <c r="X14" s="67">
        <f t="shared" si="5"/>
        <v>0</v>
      </c>
      <c r="Y14" s="67">
        <f t="shared" si="5"/>
        <v>0</v>
      </c>
    </row>
    <row r="15" spans="1:25" x14ac:dyDescent="0.25">
      <c r="Y15" s="23"/>
    </row>
    <row r="16" spans="1:25" x14ac:dyDescent="0.25">
      <c r="Y16" s="23"/>
    </row>
  </sheetData>
  <mergeCells count="21"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Y4"/>
    <mergeCell ref="C2:Y2"/>
    <mergeCell ref="D3:E3"/>
    <mergeCell ref="F3:G3"/>
    <mergeCell ref="H3:I3"/>
    <mergeCell ref="J3:K3"/>
    <mergeCell ref="V3:Y3"/>
    <mergeCell ref="L3:M3"/>
    <mergeCell ref="N3:O3"/>
    <mergeCell ref="P3:Q3"/>
    <mergeCell ref="R3:S3"/>
    <mergeCell ref="T3:U3"/>
  </mergeCells>
  <phoneticPr fontId="3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14</vt:i4>
      </vt:variant>
    </vt:vector>
  </HeadingPairs>
  <TitlesOfParts>
    <vt:vector size="36" baseType="lpstr">
      <vt:lpstr>1.melléklet.Önkormányzat</vt:lpstr>
      <vt:lpstr>2.melléklet.Önkormányzat.és int</vt:lpstr>
      <vt:lpstr>3.mellékletPH.bev.</vt:lpstr>
      <vt:lpstr>4 ESZI bev</vt:lpstr>
      <vt:lpstr>5. Óvoda bev</vt:lpstr>
      <vt:lpstr>6.melléklet.Kiadások.Önk.</vt:lpstr>
      <vt:lpstr>7.PMH kiad</vt:lpstr>
      <vt:lpstr>8.ESZI kiad</vt:lpstr>
      <vt:lpstr>9. Óvoda kiad</vt:lpstr>
      <vt:lpstr>10.melléklet.létszám</vt:lpstr>
      <vt:lpstr>11.melléklet.Beruházás</vt:lpstr>
      <vt:lpstr>12.melléklet.Int.pénzellát.</vt:lpstr>
      <vt:lpstr>13.melléklet.pénzeszköz át.</vt:lpstr>
      <vt:lpstr>14.melléklet.ált.,céltartalék</vt:lpstr>
      <vt:lpstr>15. melléklet</vt:lpstr>
      <vt:lpstr>16.melléklet.több éves</vt:lpstr>
      <vt:lpstr>17.melléklet.felhaszn.ütemterve</vt:lpstr>
      <vt:lpstr>18.melléklet.EU-s</vt:lpstr>
      <vt:lpstr>19.melléklet.kedvezm.</vt:lpstr>
      <vt:lpstr>20.melléklet.4.éves pénzforg.</vt:lpstr>
      <vt:lpstr>21.melléklet.saját.bev</vt:lpstr>
      <vt:lpstr>22.melléklet.likv.terv</vt:lpstr>
      <vt:lpstr>'10.melléklet.létszám'!Nyomtatási_terület</vt:lpstr>
      <vt:lpstr>'11.melléklet.Beruházás'!Nyomtatási_terület</vt:lpstr>
      <vt:lpstr>'12.melléklet.Int.pénzellát.'!Nyomtatási_terület</vt:lpstr>
      <vt:lpstr>'13.melléklet.pénzeszköz át.'!Nyomtatási_terület</vt:lpstr>
      <vt:lpstr>'15. melléklet'!Nyomtatási_terület</vt:lpstr>
      <vt:lpstr>'16.melléklet.több éves'!Nyomtatási_terület</vt:lpstr>
      <vt:lpstr>'17.melléklet.felhaszn.ütemterve'!Nyomtatási_terület</vt:lpstr>
      <vt:lpstr>'18.melléklet.EU-s'!Nyomtatási_terület</vt:lpstr>
      <vt:lpstr>'19.melléklet.kedvezm.'!Nyomtatási_terület</vt:lpstr>
      <vt:lpstr>'2.melléklet.Önkormányzat.és int'!Nyomtatási_terület</vt:lpstr>
      <vt:lpstr>'20.melléklet.4.éves pénzforg.'!Nyomtatási_terület</vt:lpstr>
      <vt:lpstr>'21.melléklet.saját.bev'!Nyomtatási_terület</vt:lpstr>
      <vt:lpstr>'22.melléklet.likv.terv'!Nyomtatási_terület</vt:lpstr>
      <vt:lpstr>'9. Óvoda kiad'!Nyomtatási_terület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2023-02-16T06:46:55Z</dcterms:modified>
</cp:coreProperties>
</file>